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reliascenttrial-my.sharepoint.com/personal/ddonley_reliascent_com/Documents/Donley Clients/Dawnbreaker DOE/FOA 8_22/"/>
    </mc:Choice>
  </mc:AlternateContent>
  <xr:revisionPtr revIDLastSave="20" documentId="114_{7A5B9235-4713-4F36-86D1-F8502B3D7C48}" xr6:coauthVersionLast="47" xr6:coauthVersionMax="47" xr10:uidLastSave="{133D09A8-1034-4EB8-84A2-29EC4D319A88}"/>
  <bookViews>
    <workbookView xWindow="-110" yWindow="-110" windowWidth="19420" windowHeight="10420" tabRatio="796" firstSheet="1" activeTab="7" xr2:uid="{00000000-000D-0000-FFFF-FFFF00000000}"/>
  </bookViews>
  <sheets>
    <sheet name="Read me first" sheetId="2" r:id="rId1"/>
    <sheet name="SF-424_RR-Budget-(RAversion)" sheetId="1" r:id="rId2"/>
    <sheet name="LOE worksheet" sheetId="8" r:id="rId3"/>
    <sheet name="New LOE Worksheet" sheetId="10" r:id="rId4"/>
    <sheet name="Travel BOE" sheetId="5" r:id="rId5"/>
    <sheet name="Material BOE" sheetId="6" r:id="rId6"/>
    <sheet name="Labor BOE" sheetId="7" r:id="rId7"/>
    <sheet name="SubBudget" sheetId="9"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3" i="2" l="1"/>
  <c r="H75" i="1"/>
  <c r="I86" i="1" s="1"/>
  <c r="J80" i="1"/>
  <c r="B11" i="8"/>
  <c r="B4" i="8"/>
  <c r="C6" i="10"/>
  <c r="C7" i="10" s="1"/>
  <c r="H109" i="1"/>
  <c r="H110" i="1" s="1"/>
  <c r="C11" i="10"/>
  <c r="D11" i="10" s="1"/>
  <c r="E12" i="10"/>
  <c r="B9" i="10"/>
  <c r="B8" i="10"/>
  <c r="B7" i="10"/>
  <c r="B6" i="10"/>
  <c r="J54" i="1"/>
  <c r="G12" i="1"/>
  <c r="G13" i="1"/>
  <c r="G14" i="1"/>
  <c r="G15" i="1"/>
  <c r="G16" i="1"/>
  <c r="G10" i="1"/>
  <c r="C12" i="10" l="1"/>
  <c r="E11" i="10"/>
  <c r="L11" i="9"/>
  <c r="L13" i="9"/>
  <c r="B10" i="8"/>
  <c r="D16" i="6"/>
  <c r="D15" i="6"/>
  <c r="D12" i="6"/>
  <c r="D13" i="6"/>
  <c r="D14" i="6"/>
  <c r="D11" i="6"/>
  <c r="D10" i="6"/>
  <c r="D9" i="6"/>
  <c r="D8" i="6"/>
  <c r="B14" i="2"/>
  <c r="L30" i="9"/>
  <c r="K30" i="9" s="1"/>
  <c r="L27" i="9"/>
  <c r="K27" i="9" s="1"/>
  <c r="J27" i="9"/>
  <c r="M27" i="9" s="1"/>
  <c r="J24" i="9"/>
  <c r="K24" i="9" s="1"/>
  <c r="L19" i="9"/>
  <c r="K19" i="9" s="1"/>
  <c r="L16" i="9"/>
  <c r="K16" i="9" s="1"/>
  <c r="J16" i="9"/>
  <c r="M16" i="9" s="1"/>
  <c r="J13" i="9"/>
  <c r="J19" i="9" s="1"/>
  <c r="K13" i="9" l="1"/>
  <c r="M19" i="9" s="1"/>
  <c r="M30" i="9"/>
  <c r="J30" i="9"/>
  <c r="E30" i="9" l="1"/>
  <c r="D30" i="9" s="1"/>
  <c r="E27" i="9"/>
  <c r="D27" i="9" s="1"/>
  <c r="C27" i="9"/>
  <c r="F27" i="9" s="1"/>
  <c r="C24" i="9"/>
  <c r="D24" i="9" s="1"/>
  <c r="F30" i="9" s="1"/>
  <c r="E19" i="9"/>
  <c r="D19" i="9" s="1"/>
  <c r="E16" i="9"/>
  <c r="D16" i="9" s="1"/>
  <c r="C16" i="9"/>
  <c r="F16" i="9" s="1"/>
  <c r="C13" i="9"/>
  <c r="C19" i="9" s="1"/>
  <c r="D13" i="9" l="1"/>
  <c r="F19" i="9" s="1"/>
  <c r="C30" i="9"/>
  <c r="O10" i="1" l="1"/>
  <c r="K10" i="1" s="1"/>
  <c r="L10" i="1" l="1"/>
  <c r="O17" i="1"/>
  <c r="O16" i="1"/>
  <c r="O15" i="1"/>
  <c r="O14" i="1"/>
  <c r="O13" i="1"/>
  <c r="O12" i="1"/>
  <c r="L5" i="5" l="1"/>
  <c r="L6" i="5"/>
  <c r="L7" i="5"/>
  <c r="L8" i="5"/>
  <c r="L9" i="5"/>
  <c r="O24" i="1"/>
  <c r="K24" i="1" s="1"/>
  <c r="L24" i="1" s="1"/>
  <c r="O25" i="1"/>
  <c r="K25" i="1" s="1"/>
  <c r="O26" i="1"/>
  <c r="K26" i="1" s="1"/>
  <c r="K12" i="1"/>
  <c r="L12" i="1" s="1"/>
  <c r="S23" i="1"/>
  <c r="O31" i="1"/>
  <c r="K31" i="1" s="1"/>
  <c r="L31" i="1" s="1"/>
  <c r="M31" i="1" s="1"/>
  <c r="Q31" i="1"/>
  <c r="H31" i="1" s="1"/>
  <c r="G31" i="1"/>
  <c r="K17" i="1"/>
  <c r="L17" i="1" s="1"/>
  <c r="Q17" i="1"/>
  <c r="H17" i="1" s="1"/>
  <c r="G17" i="1"/>
  <c r="D7" i="6"/>
  <c r="D6" i="6"/>
  <c r="O30" i="1"/>
  <c r="K30" i="1" s="1"/>
  <c r="L30" i="1" s="1"/>
  <c r="M30" i="1" s="1"/>
  <c r="O29" i="1"/>
  <c r="K29" i="1" s="1"/>
  <c r="L29" i="1" s="1"/>
  <c r="M29" i="1" s="1"/>
  <c r="O28" i="1"/>
  <c r="K28" i="1" s="1"/>
  <c r="L28" i="1" s="1"/>
  <c r="M28" i="1" s="1"/>
  <c r="O27" i="1"/>
  <c r="K27" i="1" s="1"/>
  <c r="L27" i="1" s="1"/>
  <c r="M27" i="1" s="1"/>
  <c r="K15" i="1"/>
  <c r="L15" i="1" s="1"/>
  <c r="K13" i="1"/>
  <c r="L13" i="1" s="1"/>
  <c r="B16" i="2"/>
  <c r="B15" i="2" s="1"/>
  <c r="K14" i="1"/>
  <c r="K16" i="1"/>
  <c r="L16" i="1" s="1"/>
  <c r="J69" i="1"/>
  <c r="A33" i="1"/>
  <c r="Q25" i="1"/>
  <c r="H25" i="1" s="1"/>
  <c r="G25" i="1"/>
  <c r="G24" i="1"/>
  <c r="Q30" i="1"/>
  <c r="H30" i="1" s="1"/>
  <c r="G30" i="1"/>
  <c r="Q29" i="1"/>
  <c r="H29" i="1" s="1"/>
  <c r="G29" i="1"/>
  <c r="Q28" i="1"/>
  <c r="H28" i="1" s="1"/>
  <c r="G28" i="1"/>
  <c r="Q27" i="1"/>
  <c r="H27" i="1" s="1"/>
  <c r="G27" i="1"/>
  <c r="Q26" i="1"/>
  <c r="H26" i="1" s="1"/>
  <c r="G26" i="1"/>
  <c r="Q24" i="1"/>
  <c r="H24" i="1" s="1"/>
  <c r="Q16" i="1"/>
  <c r="H16" i="1" s="1"/>
  <c r="Q15" i="1"/>
  <c r="H15" i="1" s="1"/>
  <c r="Q14" i="1"/>
  <c r="H14" i="1" s="1"/>
  <c r="Q13" i="1"/>
  <c r="H13" i="1" s="1"/>
  <c r="Q12" i="1"/>
  <c r="H12" i="1" s="1"/>
  <c r="Q11" i="1"/>
  <c r="H11" i="1" s="1"/>
  <c r="Q10" i="1"/>
  <c r="H10" i="1" s="1"/>
  <c r="B24" i="2"/>
  <c r="D18" i="6" l="1"/>
  <c r="B18" i="2"/>
  <c r="K17" i="2"/>
  <c r="B31" i="2"/>
  <c r="L26" i="1"/>
  <c r="M26" i="1" s="1"/>
  <c r="L25" i="1"/>
  <c r="M25" i="1" s="1"/>
  <c r="M24" i="1"/>
  <c r="M13" i="1"/>
  <c r="M17" i="1"/>
  <c r="M16" i="1"/>
  <c r="M12" i="1"/>
  <c r="M15" i="1"/>
  <c r="L14" i="1"/>
  <c r="M14" i="1" s="1"/>
  <c r="L11" i="5"/>
  <c r="J58" i="1" s="1"/>
  <c r="J60" i="1" s="1"/>
  <c r="B13" i="2"/>
  <c r="O11" i="1"/>
  <c r="K11" i="1" s="1"/>
  <c r="C116" i="1" s="1"/>
  <c r="G11" i="1"/>
  <c r="M10" i="1" l="1"/>
  <c r="B19" i="2"/>
  <c r="B20" i="2" s="1"/>
  <c r="N33" i="1"/>
  <c r="L11" i="1"/>
  <c r="M11" i="1" s="1"/>
  <c r="C114" i="1" l="1"/>
  <c r="N19" i="1"/>
  <c r="N35" i="1" s="1"/>
  <c r="I91" i="1" s="1"/>
  <c r="G95" i="1" l="1"/>
  <c r="I95" i="1" s="1"/>
  <c r="C115" i="1" s="1"/>
  <c r="I99" i="1" l="1"/>
  <c r="I103" i="1" s="1"/>
  <c r="C117" i="1"/>
  <c r="I106" i="1" l="1"/>
  <c r="I109" i="1" s="1"/>
  <c r="C5" i="10" l="1"/>
  <c r="B3" i="8"/>
  <c r="C9" i="10" l="1"/>
  <c r="D9" i="10" s="1"/>
  <c r="C8" i="10"/>
  <c r="D8" i="10" s="1"/>
  <c r="B9" i="8"/>
  <c r="B5" i="8"/>
  <c r="D12" i="10"/>
  <c r="E8" i="10"/>
  <c r="E9" i="10"/>
  <c r="B14" i="8" l="1"/>
  <c r="B1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Dave's Desktop</author>
  </authors>
  <commentList>
    <comment ref="R9" authorId="0" shapeId="0" xr:uid="{00000000-0006-0000-0100-000001000000}">
      <text>
        <r>
          <rPr>
            <b/>
            <sz val="9"/>
            <color indexed="81"/>
            <rFont val="Tahoma"/>
            <family val="2"/>
          </rPr>
          <t>Dave's Desktop:</t>
        </r>
        <r>
          <rPr>
            <sz val="9"/>
            <color indexed="81"/>
            <rFont val="Tahoma"/>
            <family val="2"/>
          </rPr>
          <t xml:space="preserve">
Can be zero, meaning fringe costs are included in the indirect rate</t>
        </r>
      </text>
    </comment>
    <comment ref="R23" authorId="0" shapeId="0" xr:uid="{00000000-0006-0000-0100-000002000000}">
      <text>
        <r>
          <rPr>
            <b/>
            <sz val="9"/>
            <color indexed="81"/>
            <rFont val="Tahoma"/>
            <family val="2"/>
          </rPr>
          <t>Dave's Desktop:</t>
        </r>
        <r>
          <rPr>
            <sz val="9"/>
            <color indexed="81"/>
            <rFont val="Tahoma"/>
            <family val="2"/>
          </rPr>
          <t xml:space="preserve">
Can be zero, meaning fringe costs are included in the indirect rate</t>
        </r>
      </text>
    </comment>
    <comment ref="B40" authorId="0" shapeId="0" xr:uid="{00000000-0006-0000-0100-000003000000}">
      <text>
        <r>
          <rPr>
            <b/>
            <sz val="9"/>
            <color indexed="81"/>
            <rFont val="Tahoma"/>
            <family val="2"/>
          </rPr>
          <t>Dave's Desktop:</t>
        </r>
        <r>
          <rPr>
            <sz val="9"/>
            <color indexed="81"/>
            <rFont val="Tahoma"/>
            <family val="2"/>
          </rPr>
          <t xml:space="preserve">
Validating your need is critical. Best if you can lease or purchase as a tangible (depreciated) asset. Should be no more than 10% of total budget.</t>
        </r>
      </text>
    </comment>
    <comment ref="C59" authorId="0" shapeId="0" xr:uid="{00000000-0006-0000-0100-000004000000}">
      <text>
        <r>
          <rPr>
            <b/>
            <sz val="9"/>
            <color indexed="81"/>
            <rFont val="Tahoma"/>
            <family val="2"/>
          </rPr>
          <t>Dave's Desktop:</t>
        </r>
        <r>
          <rPr>
            <sz val="9"/>
            <color indexed="81"/>
            <rFont val="Tahoma"/>
            <family val="2"/>
          </rPr>
          <t xml:space="preserve">
Foreign travel not allowed for SBIR/STTR, "except in rare and unique circumstances"</t>
        </r>
      </text>
    </comment>
    <comment ref="B63" authorId="0" shapeId="0" xr:uid="{00000000-0006-0000-0100-000005000000}">
      <text>
        <r>
          <rPr>
            <b/>
            <sz val="9"/>
            <color indexed="81"/>
            <rFont val="Tahoma"/>
            <family val="2"/>
          </rPr>
          <t>Dave's Desktop:</t>
        </r>
        <r>
          <rPr>
            <sz val="9"/>
            <color indexed="81"/>
            <rFont val="Tahoma"/>
            <family val="2"/>
          </rPr>
          <t xml:space="preserve">
These costs typically don't apply to recipient SBIR/STTR grants (primes)</t>
        </r>
      </text>
    </comment>
    <comment ref="H77" authorId="0" shapeId="0" xr:uid="{00000000-0006-0000-0100-000006000000}">
      <text>
        <r>
          <rPr>
            <b/>
            <sz val="9"/>
            <color indexed="81"/>
            <rFont val="Tahoma"/>
            <family val="2"/>
          </rPr>
          <t>Dave's Desktop:</t>
        </r>
        <r>
          <rPr>
            <sz val="9"/>
            <color indexed="81"/>
            <rFont val="Tahoma"/>
            <family val="2"/>
          </rPr>
          <t xml:space="preserve">
Current DOE approach is any hourly rate over $150/hr must be justified.</t>
        </r>
      </text>
    </comment>
    <comment ref="G95" authorId="0" shapeId="0" xr:uid="{00000000-0006-0000-0100-000007000000}">
      <text>
        <r>
          <rPr>
            <b/>
            <sz val="9"/>
            <color indexed="81"/>
            <rFont val="Tahoma"/>
            <family val="2"/>
          </rPr>
          <t>Dave's Desktop:</t>
        </r>
        <r>
          <rPr>
            <sz val="9"/>
            <color indexed="81"/>
            <rFont val="Tahoma"/>
            <family val="2"/>
          </rPr>
          <t xml:space="preserve">
Base can be changed to include only labor, but adjust rate accordingly</t>
        </r>
      </text>
    </comment>
    <comment ref="I95" authorId="0" shapeId="0" xr:uid="{00000000-0006-0000-0100-000008000000}">
      <text>
        <r>
          <rPr>
            <b/>
            <sz val="9"/>
            <color indexed="81"/>
            <rFont val="Tahoma"/>
            <family val="2"/>
          </rPr>
          <t>Dave's Desktop:</t>
        </r>
        <r>
          <rPr>
            <sz val="9"/>
            <color indexed="81"/>
            <rFont val="Tahoma"/>
            <family val="2"/>
          </rPr>
          <t xml:space="preserve">
This should represent what's needed to sustain the firm's administrative costs over the grant period</t>
        </r>
      </text>
    </comment>
  </commentList>
</comments>
</file>

<file path=xl/sharedStrings.xml><?xml version="1.0" encoding="utf-8"?>
<sst xmlns="http://schemas.openxmlformats.org/spreadsheetml/2006/main" count="372" uniqueCount="273">
  <si>
    <t>DOE Phase 1 Assistance</t>
  </si>
  <si>
    <t>Budget Planning Worksheet</t>
  </si>
  <si>
    <t>Note: Shaded cells are input cells. Do not change other cell formulas.</t>
  </si>
  <si>
    <t>Total Grant Amount</t>
  </si>
  <si>
    <t>$200,000 or $250,000 based on topic</t>
  </si>
  <si>
    <t>Fee</t>
  </si>
  <si>
    <t>Assuming the maximum 7% fee allowed</t>
  </si>
  <si>
    <t>Total Cost</t>
  </si>
  <si>
    <t>Summation of all cost, direct and indirect</t>
  </si>
  <si>
    <t>Indirect costs</t>
  </si>
  <si>
    <t>Critical for a small business. Is this figure (cell b15) enough to sustain the firm's administrative costs for nine-twelve months? (25% is a placeholder)</t>
  </si>
  <si>
    <t>Direct Costs</t>
  </si>
  <si>
    <t>Total budget available for direct project costs</t>
  </si>
  <si>
    <t>Direct Cost Target</t>
  </si>
  <si>
    <t>Direct Costs Calculated</t>
  </si>
  <si>
    <t>Variance</t>
  </si>
  <si>
    <t>Direct Costs calculated</t>
  </si>
  <si>
    <t>Roughly lay out your anticipated direct project costs (figures shown are placeholders only)</t>
  </si>
  <si>
    <t>Labor</t>
  </si>
  <si>
    <t>Fringe as a direct cost</t>
  </si>
  <si>
    <t>Fringe costs may be included in your indirect rate or shown separately here</t>
  </si>
  <si>
    <t>Equipment</t>
  </si>
  <si>
    <t>Travel</t>
  </si>
  <si>
    <t>Material/Supplies</t>
  </si>
  <si>
    <t>Consultants</t>
  </si>
  <si>
    <t>Subawards</t>
  </si>
  <si>
    <t>University may need to fill-out the SF-424 Subaward budget</t>
  </si>
  <si>
    <t>Other</t>
  </si>
  <si>
    <t>Total</t>
  </si>
  <si>
    <t>SF-424_RR-Budget Worksheet (ReliAscent Version)</t>
  </si>
  <si>
    <r>
      <t xml:space="preserve">This worksheet </t>
    </r>
    <r>
      <rPr>
        <b/>
        <sz val="11"/>
        <color rgb="FFFF0000"/>
        <rFont val="Calibri"/>
        <family val="2"/>
        <scheme val="minor"/>
      </rPr>
      <t>simulates</t>
    </r>
    <r>
      <rPr>
        <b/>
        <sz val="11"/>
        <color theme="1"/>
        <rFont val="Calibri"/>
        <family val="2"/>
        <scheme val="minor"/>
      </rPr>
      <t xml:space="preserve"> the SF-424 RR-Budget PDF form in the application package. It does not get uploaded to Workspace.</t>
    </r>
  </si>
  <si>
    <r>
      <t>The FOA suggests “</t>
    </r>
    <r>
      <rPr>
        <b/>
        <sz val="11.5"/>
        <color theme="1"/>
        <rFont val="Calibri"/>
        <family val="2"/>
        <scheme val="minor"/>
      </rPr>
      <t>All budget items should be rounded to the nearest dollar and consistent with the budget justification form.”</t>
    </r>
  </si>
  <si>
    <t>Note: Shaded cells are input cells. All others contain formulas.</t>
  </si>
  <si>
    <t>A. Senior/Key Person</t>
  </si>
  <si>
    <t>Labor Worksheet</t>
  </si>
  <si>
    <t>Prefix</t>
  </si>
  <si>
    <t xml:space="preserve">First </t>
  </si>
  <si>
    <t xml:space="preserve">Middle </t>
  </si>
  <si>
    <t xml:space="preserve">Last </t>
  </si>
  <si>
    <t>Suffix</t>
  </si>
  <si>
    <t>Project Role</t>
  </si>
  <si>
    <t>Base Salary ($)</t>
  </si>
  <si>
    <t>Cal. Months</t>
  </si>
  <si>
    <t>Acad. Months</t>
  </si>
  <si>
    <t>Sum months</t>
  </si>
  <si>
    <t>Requested salary</t>
  </si>
  <si>
    <t>Fringe benefits</t>
  </si>
  <si>
    <t>Funds requested</t>
  </si>
  <si>
    <t>Hours</t>
  </si>
  <si>
    <t>Hourly rate</t>
  </si>
  <si>
    <t>Annual Salary</t>
  </si>
  <si>
    <t>Cal Months</t>
  </si>
  <si>
    <t>Fringe % =</t>
  </si>
  <si>
    <t>Dr</t>
  </si>
  <si>
    <t>Dave</t>
  </si>
  <si>
    <t>PI</t>
  </si>
  <si>
    <t>Donley</t>
  </si>
  <si>
    <t>See Labor BOE tab for labor rates</t>
  </si>
  <si>
    <t>Total Senior/Key Personnel</t>
  </si>
  <si>
    <t>B. Other Personnel</t>
  </si>
  <si>
    <t>Number of Personnel</t>
  </si>
  <si>
    <t xml:space="preserve">    Total Number Other Personnel</t>
  </si>
  <si>
    <t>Total Other Personnel</t>
  </si>
  <si>
    <t xml:space="preserve">Total Salary, Wages and Fringe Benefits (A+B) </t>
  </si>
  <si>
    <t xml:space="preserve">Sections C, D &amp; E </t>
  </si>
  <si>
    <t>C. Equipment Description</t>
  </si>
  <si>
    <t>List items and dollar amount for each item exceeding $5,000</t>
  </si>
  <si>
    <t>Equipment Item</t>
  </si>
  <si>
    <t>Funds requested ($)</t>
  </si>
  <si>
    <t>NA</t>
  </si>
  <si>
    <t>Total Equipment</t>
  </si>
  <si>
    <t xml:space="preserve">D. Travel </t>
  </si>
  <si>
    <t>Funds Requested ($)</t>
  </si>
  <si>
    <t>Domestic Travel Costs</t>
  </si>
  <si>
    <t>&lt;----------------</t>
  </si>
  <si>
    <t>Linked to Travel BOE tab calculator</t>
  </si>
  <si>
    <t>Foreign Travel Costs</t>
  </si>
  <si>
    <t>Total Travel Cost</t>
  </si>
  <si>
    <t>E. Participant/Trainee Support Costs</t>
  </si>
  <si>
    <t>Tuition/Fees/Health Insurance</t>
  </si>
  <si>
    <t>Stipends</t>
  </si>
  <si>
    <t>Subsistence</t>
  </si>
  <si>
    <t>No. of participants/trainees</t>
  </si>
  <si>
    <t>Total Participant/Trainee Costs</t>
  </si>
  <si>
    <t>Section F-J</t>
  </si>
  <si>
    <t>F. Other Direct Costs</t>
  </si>
  <si>
    <t>Materials and supplies</t>
  </si>
  <si>
    <t>&lt;--------------</t>
  </si>
  <si>
    <t>Linked to Material BOE tab</t>
  </si>
  <si>
    <t>Publication Costs</t>
  </si>
  <si>
    <t>Consultant Services</t>
  </si>
  <si>
    <t>ADP/Computer Services</t>
  </si>
  <si>
    <t>See SubBudget tab for budget limitations</t>
  </si>
  <si>
    <t>Equipment or facility User Rental Fees</t>
  </si>
  <si>
    <t>Alterations or renovations</t>
  </si>
  <si>
    <t>Consultant services - TABA Vendor</t>
  </si>
  <si>
    <t>1099s go here as "Other"</t>
  </si>
  <si>
    <t>Total Other Direct Costs</t>
  </si>
  <si>
    <t>G. Direct Costs</t>
  </si>
  <si>
    <t>Total Direct Costs (A thru F)</t>
  </si>
  <si>
    <t>H. Indirect Costs</t>
  </si>
  <si>
    <t>Indirect Cost Type</t>
  </si>
  <si>
    <t>Indirect cost rate (%)</t>
  </si>
  <si>
    <t>Indirect cost base ($)</t>
  </si>
  <si>
    <t>G&amp;A - Total Cost Input</t>
  </si>
  <si>
    <t>Total Indirect Costs</t>
  </si>
  <si>
    <t>I. Total Direct and Indirect Costs</t>
  </si>
  <si>
    <t>Total Direct and Indirect Institutional Costs (G+H)</t>
  </si>
  <si>
    <t>J. Fee % =</t>
  </si>
  <si>
    <t>7% is maximum</t>
  </si>
  <si>
    <t>Check Budget against New LOE Worksheet</t>
  </si>
  <si>
    <t>Indirect rates metric from DOE SBIR/STTR Guide</t>
  </si>
  <si>
    <t>If the applicant organization proposes indirect costs plus fringe benefits that does not exceed 50% of direct salaries and wages, no documentation is required.</t>
  </si>
  <si>
    <t>Fringe costs</t>
  </si>
  <si>
    <t>Direct wages</t>
  </si>
  <si>
    <t>Ratio</t>
  </si>
  <si>
    <t>SBIR</t>
  </si>
  <si>
    <t>A.  Total Requested Funds:  K</t>
  </si>
  <si>
    <t>B.  Funding for Consultants &amp; Subawards:  F3 + F5 + F8-10 (for third parties)</t>
  </si>
  <si>
    <t>Small business level of effort = (A-B)/A</t>
  </si>
  <si>
    <t>STTR</t>
  </si>
  <si>
    <t>C.  Total Requested Funds:  K</t>
  </si>
  <si>
    <t>D.  Research Institution Subaward:  amount of F5 for Research Institution</t>
  </si>
  <si>
    <t>E.  Funding for Consultants &amp; Other Subawards:  F3 + F5 (not including Research Institution) + F8-10 (for third parties)</t>
  </si>
  <si>
    <r>
      <rPr>
        <b/>
        <sz val="11"/>
        <rFont val="Calibri"/>
        <family val="2"/>
        <scheme val="minor"/>
      </rPr>
      <t>Small business level of effort</t>
    </r>
    <r>
      <rPr>
        <sz val="11"/>
        <rFont val="Calibri"/>
        <family val="2"/>
        <scheme val="minor"/>
      </rPr>
      <t xml:space="preserve"> = (C-D-E)/C</t>
    </r>
  </si>
  <si>
    <t>Requirement:  ≥ 40% for Phase I &amp; II</t>
  </si>
  <si>
    <r>
      <rPr>
        <b/>
        <sz val="11"/>
        <rFont val="Calibri"/>
        <family val="2"/>
        <scheme val="minor"/>
      </rPr>
      <t>Research Institution level of effort</t>
    </r>
    <r>
      <rPr>
        <sz val="11"/>
        <rFont val="Calibri"/>
        <family val="2"/>
        <scheme val="minor"/>
      </rPr>
      <t xml:space="preserve"> = D/C</t>
    </r>
  </si>
  <si>
    <t>Requirement:  ≥ 30% for Phase I &amp; II</t>
  </si>
  <si>
    <t>Reflects FOA DE-FOA-0002146 Amendment 2</t>
  </si>
  <si>
    <t>Travel Basis of Estimate Worksheet</t>
  </si>
  <si>
    <t>Per Diem</t>
  </si>
  <si>
    <t>Origin</t>
  </si>
  <si>
    <t>Destination</t>
  </si>
  <si>
    <t>Justification</t>
  </si>
  <si>
    <t>Date</t>
  </si>
  <si>
    <t>QTY Trips</t>
  </si>
  <si>
    <t>QTY People</t>
  </si>
  <si>
    <t>Days</t>
  </si>
  <si>
    <t>Lodging</t>
  </si>
  <si>
    <t>M&amp;IE</t>
  </si>
  <si>
    <t>Airfare</t>
  </si>
  <si>
    <t>Extended Cost</t>
  </si>
  <si>
    <t>Your City/State</t>
  </si>
  <si>
    <t>University</t>
  </si>
  <si>
    <t>PI visit to RI</t>
  </si>
  <si>
    <t>Month 2, Month 5, Month 8</t>
  </si>
  <si>
    <t>Washington DC</t>
  </si>
  <si>
    <t>CEO take part to the PI meeting</t>
  </si>
  <si>
    <t>Month 4</t>
  </si>
  <si>
    <t>PI take part to the PI meeting</t>
  </si>
  <si>
    <t>Airfare should be lowest available coach fare (with few exceptions).</t>
  </si>
  <si>
    <t xml:space="preserve">Use per diem rates for hotel, meals &amp; incidentals from the GSA website </t>
  </si>
  <si>
    <t xml:space="preserve">http://www.gsa.gov/portal/content/104877  </t>
  </si>
  <si>
    <t>Airfare - https://www.gsaflights.com/city-pairs</t>
  </si>
  <si>
    <t>Company XYZ</t>
  </si>
  <si>
    <t xml:space="preserve">Version: Baseline </t>
  </si>
  <si>
    <t>Proposal ABC</t>
  </si>
  <si>
    <t>Material Basis of Estimate</t>
  </si>
  <si>
    <t>Bill of Material</t>
  </si>
  <si>
    <t>QTY</t>
  </si>
  <si>
    <t>Unit Price</t>
  </si>
  <si>
    <t>Total Price</t>
  </si>
  <si>
    <t>Source</t>
  </si>
  <si>
    <t>BOE</t>
  </si>
  <si>
    <t>Part 1</t>
  </si>
  <si>
    <t>Q</t>
  </si>
  <si>
    <t>Part 2</t>
  </si>
  <si>
    <t>O</t>
  </si>
  <si>
    <t>Part 3</t>
  </si>
  <si>
    <t>Part 4</t>
  </si>
  <si>
    <t>Part 5</t>
  </si>
  <si>
    <t>Part 6</t>
  </si>
  <si>
    <t>Part 7</t>
  </si>
  <si>
    <t>Part 8</t>
  </si>
  <si>
    <t>Part 9</t>
  </si>
  <si>
    <t>Part 10</t>
  </si>
  <si>
    <t>Part 11</t>
  </si>
  <si>
    <t>Consumables for manufactuirng</t>
  </si>
  <si>
    <t>S</t>
  </si>
  <si>
    <t>Total Material</t>
  </si>
  <si>
    <t>Legend</t>
  </si>
  <si>
    <t>C = Catalog price</t>
  </si>
  <si>
    <t>Q = Quotation</t>
  </si>
  <si>
    <t>S = Based on similar pricing</t>
  </si>
  <si>
    <t>O = Online</t>
  </si>
  <si>
    <t>DOL/BLS stats - https://www.bls.gov/oes/current/oes_nat.htm#11-0000</t>
  </si>
  <si>
    <t>- Management Occupations (11-0000)</t>
  </si>
  <si>
    <t>- Computer and Mathematical Occupations (15-0000)</t>
  </si>
  <si>
    <t>- Architecture and Engineering Occupations (17-0000)</t>
  </si>
  <si>
    <t>- Life, Physical, and Social Science Occupations (19-0000)   </t>
  </si>
  <si>
    <t>Other acceptable sources:</t>
  </si>
  <si>
    <t>On-line salary surveys - salary.com, Glassdoor.com, payscale.com</t>
  </si>
  <si>
    <t>Professional salary surveys</t>
  </si>
  <si>
    <t>Organization salary surveys</t>
  </si>
  <si>
    <t>Any other reputable HR resource (PTAC, SBDC…)</t>
  </si>
  <si>
    <t>Historical wages</t>
  </si>
  <si>
    <t>https://www.moneyunder30.com/best-salary-information-websites</t>
  </si>
  <si>
    <r>
      <rPr>
        <b/>
        <sz val="12"/>
        <color theme="1"/>
        <rFont val="Calibri"/>
        <family val="2"/>
        <scheme val="minor"/>
      </rPr>
      <t xml:space="preserve">Objective: </t>
    </r>
    <r>
      <rPr>
        <sz val="12"/>
        <color theme="1"/>
        <rFont val="Calibri"/>
        <family val="2"/>
        <scheme val="minor"/>
      </rPr>
      <t>To calculate the minimum and maximum amount allowed for SBIR/STTR subrecipients</t>
    </r>
  </si>
  <si>
    <t>Variables and Limitations</t>
  </si>
  <si>
    <t>1. SBIR: By regulation, the small business has to conduct 2/3rds of the effort.</t>
  </si>
  <si>
    <t xml:space="preserve">2. STTR: By regulation, the small business has to perform a minimum of 40% of the effort, </t>
  </si>
  <si>
    <t>the single STTR partner a minimum of 30%.</t>
  </si>
  <si>
    <t>3. Phase I grant limits are either $200,000 or $250,000.</t>
  </si>
  <si>
    <t>4. Grants limits can be $6,500 higher if using a 3rd party commercialization vendor (TABA).</t>
  </si>
  <si>
    <t>Case 1a: $200,000 grant limit</t>
  </si>
  <si>
    <t>Case 1b: $206,500 grant limit</t>
  </si>
  <si>
    <t>SBIR Case</t>
  </si>
  <si>
    <t>Small Bus Min</t>
  </si>
  <si>
    <t>Sub Max</t>
  </si>
  <si>
    <t>Sub</t>
  </si>
  <si>
    <t>TABA</t>
  </si>
  <si>
    <t>Budget</t>
  </si>
  <si>
    <t>STTR Case</t>
  </si>
  <si>
    <t>Small Bus Max</t>
  </si>
  <si>
    <t>Sub Min</t>
  </si>
  <si>
    <t>SBIR_STTR combo</t>
  </si>
  <si>
    <t>Case 2a: $250,000 grant limit</t>
  </si>
  <si>
    <t>Case 2a: $256,500 grant limit</t>
  </si>
  <si>
    <t>Narrative for $200,000 grants</t>
  </si>
  <si>
    <t>Narrative for $206,500 grants</t>
  </si>
  <si>
    <t>For an SBIR, the small business budget has to be a minimum of $133,335.</t>
  </si>
  <si>
    <t>For an SBIR, the small business budget has to be a minimum of $137,669.</t>
  </si>
  <si>
    <t>For an SBIR, the subrecipient budget has to be a maximum of $66,665.</t>
  </si>
  <si>
    <t>For an SBIR, the subrecipient budget has to be a maximum of $68,831.</t>
  </si>
  <si>
    <t>For an STTR, the small business budget can be in the range of $80,000 - $140,000.</t>
  </si>
  <si>
    <t>For an STTR, the small business budget can be in the range of $82,600 - $1444,550.</t>
  </si>
  <si>
    <t>For an STTR, the subrecipient budget can be in the range of $60,000 - $120,000.</t>
  </si>
  <si>
    <t>For an STTR, the subrecipient budget can be in the range of $61,950 - $123,900.</t>
  </si>
  <si>
    <t>For combo SBIR/STTR, the small business budget can be in the range of $133,335 - $140,000.</t>
  </si>
  <si>
    <t>For combo SBIR/STTR, the small business budget can be in the range of $$137,669 - $144,550.</t>
  </si>
  <si>
    <t>For combo SBIR/STTR, the subrecipient budget can be in the range of $60,000 - $66,665.</t>
  </si>
  <si>
    <t>For combo SBIR/STTR, the subrecipient budget can be in the range of $61,950 - $68,831.</t>
  </si>
  <si>
    <t>Narrative for $250,000 grants</t>
  </si>
  <si>
    <t>For an SBIR, the small business budget has to be a minimum of $166,667.</t>
  </si>
  <si>
    <t>For an SBIR, the small business budget has to be a minimum of $171,000.</t>
  </si>
  <si>
    <t>For an SBIR, the subrecipient share has to be a maximum of $83,333.</t>
  </si>
  <si>
    <t>For an SBIR, the subrecipient share has to be a maximum of $85,550.</t>
  </si>
  <si>
    <t>For an STTR, the small business budget can be in the range of $100,000 - $175,000.</t>
  </si>
  <si>
    <t>For an STTR, the small business budget can be in the range of $102,600 - $179,550.</t>
  </si>
  <si>
    <t>For an STTR, the subrecipient budget can be in the range of $75,000 - $150,000.</t>
  </si>
  <si>
    <t>For an STTR, the subrecipient budget can be in the range of $76,950 - $153,000.</t>
  </si>
  <si>
    <t>For combo SBIR/STTR, the small business budget can be in the range of $166,667 - $175,000.</t>
  </si>
  <si>
    <t>For combo SBIR/STTR, the small business budget can be in the range of $171,000 - $179,550.</t>
  </si>
  <si>
    <t>For combo SBIR/STTR, the subrecipient budget can be in the range of $75,000 - $83,333.</t>
  </si>
  <si>
    <t>For combo SBIR/STTR, the subrecipient budget can be in the range of $76,950 - $85,550.</t>
  </si>
  <si>
    <t>Warning:</t>
  </si>
  <si>
    <t xml:space="preserve">This is for initial subrecipient budget planning purposes only. Be aware that the DOE uses its LOE worksheet to score the budget workshare. </t>
  </si>
  <si>
    <t>Consultants and "other subawards" also do not count toward the small business workshare.</t>
  </si>
  <si>
    <t>The final budget should be evaluated against this LOE worksheet (see tab to the left).</t>
  </si>
  <si>
    <t>Subrecipient budgets may have to be adjusted downward depending on the LOE worksheet score.</t>
  </si>
  <si>
    <t>welding machines, brake, plasma cutter</t>
  </si>
  <si>
    <t>GAP engineering</t>
  </si>
  <si>
    <t>DOE SBIR/STTR Level of Effort Requirements</t>
  </si>
  <si>
    <t>KEY</t>
  </si>
  <si>
    <t xml:space="preserve">Program: </t>
  </si>
  <si>
    <t>Data Entry Field</t>
  </si>
  <si>
    <t xml:space="preserve">Phase: </t>
  </si>
  <si>
    <t>Phase I</t>
  </si>
  <si>
    <t>Calculated Field</t>
  </si>
  <si>
    <t>A.  Total Requested Funds,  K:</t>
  </si>
  <si>
    <t>Requirement met?</t>
  </si>
  <si>
    <t xml:space="preserve"> Requirement</t>
  </si>
  <si>
    <t>Maximum Funding Request Requirements</t>
  </si>
  <si>
    <t>Funds Requested for TABA Vendor:</t>
  </si>
  <si>
    <t xml:space="preserve">Maximum Award Amount for Topic (see Topics Document): </t>
  </si>
  <si>
    <t>Notes:</t>
  </si>
  <si>
    <t xml:space="preserve">(1) Each field in the LOE Input Section corresponds to the referenced field in the Grants.gov Budget Form completed by the Small Business. Fields F8 through F10 of the budget form are for "Other". If funds in this area are not for a third party (i.e. Consultants, Subawards, or TABA) do not include that amount in this worksheet.
</t>
  </si>
  <si>
    <t>5a</t>
  </si>
  <si>
    <t>5b</t>
  </si>
  <si>
    <t>STTR Subawards/Consortium/Contractual Costs</t>
  </si>
  <si>
    <t>Other Subawards/Consortium/Contractual Costs</t>
  </si>
  <si>
    <t>Requirement:  ≥ 66.7% for Phase I; ≥ 50% for Phase II</t>
  </si>
  <si>
    <t>total Subs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</si>
</sst>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quot;#,##0.00"/>
    <numFmt numFmtId="168" formatCode="&quot;$&quot;#,##0"/>
    <numFmt numFmtId="169" formatCode="0.0%"/>
  </numFmts>
  <fonts count="35">
    <font>
      <sz val="11"/>
      <color theme="1"/>
      <name val="Calibri"/>
      <family val="2"/>
      <scheme val="minor"/>
    </font>
    <font>
      <sz val="11"/>
      <color theme="1"/>
      <name val="Calibri"/>
      <family val="2"/>
      <scheme val="minor"/>
    </font>
    <font>
      <b/>
      <sz val="11"/>
      <color theme="1"/>
      <name val="Calibri"/>
      <family val="2"/>
      <scheme val="minor"/>
    </font>
    <font>
      <b/>
      <sz val="10"/>
      <color theme="1"/>
      <name val="Arial Narrow"/>
      <family val="2"/>
    </font>
    <font>
      <sz val="10"/>
      <color theme="1"/>
      <name val="Arial Narrow"/>
      <family val="2"/>
    </font>
    <font>
      <sz val="10"/>
      <color rgb="FF000000"/>
      <name val="Arial Narrow"/>
      <family val="2"/>
    </font>
    <font>
      <sz val="8"/>
      <name val="Arial"/>
      <family val="2"/>
    </font>
    <font>
      <sz val="9"/>
      <color indexed="81"/>
      <name val="Tahoma"/>
      <family val="2"/>
    </font>
    <font>
      <b/>
      <sz val="9"/>
      <color indexed="81"/>
      <name val="Tahoma"/>
      <family val="2"/>
    </font>
    <font>
      <b/>
      <sz val="8"/>
      <name val="Arial"/>
      <family val="2"/>
    </font>
    <font>
      <sz val="10"/>
      <name val="Arial"/>
      <family val="2"/>
    </font>
    <font>
      <sz val="10"/>
      <name val="Geneva"/>
    </font>
    <font>
      <b/>
      <sz val="10"/>
      <name val="Geneva"/>
    </font>
    <font>
      <sz val="10"/>
      <color theme="1"/>
      <name val="Arial"/>
      <family val="2"/>
    </font>
    <font>
      <b/>
      <sz val="10"/>
      <name val="Arial"/>
      <family val="2"/>
    </font>
    <font>
      <u/>
      <sz val="11"/>
      <color theme="10"/>
      <name val="Calibri"/>
      <family val="2"/>
      <scheme val="minor"/>
    </font>
    <font>
      <sz val="11"/>
      <color rgb="FFFF0000"/>
      <name val="Calibri"/>
      <family val="2"/>
      <scheme val="minor"/>
    </font>
    <font>
      <b/>
      <sz val="11"/>
      <color theme="0"/>
      <name val="Calibri"/>
      <family val="2"/>
      <scheme val="minor"/>
    </font>
    <font>
      <sz val="11"/>
      <color theme="0"/>
      <name val="Calibri"/>
      <family val="2"/>
      <scheme val="minor"/>
    </font>
    <font>
      <sz val="10"/>
      <name val="Calibri"/>
      <family val="2"/>
      <scheme val="minor"/>
    </font>
    <font>
      <sz val="11"/>
      <name val="Calibri"/>
      <family val="2"/>
      <scheme val="minor"/>
    </font>
    <font>
      <b/>
      <sz val="11"/>
      <name val="Calibri"/>
      <family val="2"/>
      <scheme val="minor"/>
    </font>
    <font>
      <i/>
      <sz val="11"/>
      <name val="Calibri"/>
      <family val="2"/>
      <scheme val="minor"/>
    </font>
    <font>
      <sz val="12"/>
      <color theme="1"/>
      <name val="Calibri"/>
      <family val="2"/>
      <scheme val="minor"/>
    </font>
    <font>
      <b/>
      <sz val="12"/>
      <color theme="1"/>
      <name val="Calibri"/>
      <family val="2"/>
      <scheme val="minor"/>
    </font>
    <font>
      <b/>
      <sz val="10"/>
      <color theme="0" tint="-0.499984740745262"/>
      <name val="Arial Narrow"/>
      <family val="2"/>
    </font>
    <font>
      <sz val="10"/>
      <color theme="0" tint="-0.499984740745262"/>
      <name val="Arial Narrow"/>
      <family val="2"/>
    </font>
    <font>
      <b/>
      <sz val="11.5"/>
      <color theme="1"/>
      <name val="Calibri"/>
      <family val="2"/>
      <scheme val="minor"/>
    </font>
    <font>
      <b/>
      <sz val="11"/>
      <color rgb="FFFF0000"/>
      <name val="Calibri"/>
      <family val="2"/>
      <scheme val="minor"/>
    </font>
    <font>
      <sz val="10"/>
      <color theme="1"/>
      <name val="Times New Roman"/>
      <family val="1"/>
    </font>
    <font>
      <b/>
      <sz val="14"/>
      <name val="Geneva"/>
    </font>
    <font>
      <sz val="14"/>
      <name val="Arial"/>
      <family val="2"/>
    </font>
    <font>
      <sz val="14"/>
      <name val="Geneva"/>
    </font>
    <font>
      <b/>
      <sz val="14"/>
      <color theme="0"/>
      <name val="Calibri"/>
      <family val="2"/>
      <scheme val="minor"/>
    </font>
    <font>
      <sz val="10"/>
      <color rgb="FFFF000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0" fontId="11" fillId="0" borderId="0" applyProtection="0"/>
    <xf numFmtId="8" fontId="11" fillId="0" borderId="0" applyFont="0" applyFill="0" applyBorder="0" applyAlignment="0" applyProtection="0"/>
    <xf numFmtId="0" fontId="15" fillId="0" borderId="0" applyNumberFormat="0" applyFill="0" applyBorder="0" applyAlignment="0" applyProtection="0"/>
    <xf numFmtId="44" fontId="1"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cellStyleXfs>
  <cellXfs count="208">
    <xf numFmtId="0" fontId="0" fillId="0" borderId="0" xfId="0"/>
    <xf numFmtId="0" fontId="2" fillId="0" borderId="0" xfId="0" applyFont="1"/>
    <xf numFmtId="43" fontId="0" fillId="0" borderId="0" xfId="0" applyNumberFormat="1"/>
    <xf numFmtId="0" fontId="2" fillId="0" borderId="0" xfId="0" applyFont="1" applyAlignment="1">
      <alignment horizontal="right"/>
    </xf>
    <xf numFmtId="0" fontId="0" fillId="2" borderId="0" xfId="0" applyFill="1"/>
    <xf numFmtId="0" fontId="3" fillId="0" borderId="0" xfId="0" applyFont="1" applyAlignment="1" applyProtection="1">
      <alignment wrapText="1"/>
      <protection locked="0"/>
    </xf>
    <xf numFmtId="0" fontId="3" fillId="0" borderId="2" xfId="0" applyFont="1" applyBorder="1" applyAlignment="1" applyProtection="1">
      <alignment wrapText="1"/>
      <protection locked="0"/>
    </xf>
    <xf numFmtId="0" fontId="4" fillId="0" borderId="0" xfId="0" applyFont="1" applyAlignment="1" applyProtection="1">
      <alignment horizontal="center"/>
      <protection locked="0"/>
    </xf>
    <xf numFmtId="0" fontId="4" fillId="0" borderId="2" xfId="0" applyFont="1" applyBorder="1" applyProtection="1">
      <protection locked="0"/>
    </xf>
    <xf numFmtId="4" fontId="4" fillId="0" borderId="2" xfId="0" applyNumberFormat="1" applyFont="1" applyBorder="1" applyProtection="1">
      <protection locked="0"/>
    </xf>
    <xf numFmtId="0" fontId="4" fillId="0" borderId="2" xfId="0" applyFont="1" applyBorder="1" applyAlignment="1" applyProtection="1">
      <alignment horizontal="center"/>
      <protection locked="0"/>
    </xf>
    <xf numFmtId="0" fontId="4" fillId="0" borderId="0" xfId="0" applyFont="1" applyProtection="1">
      <protection locked="0"/>
    </xf>
    <xf numFmtId="0" fontId="3" fillId="0" borderId="0" xfId="0" applyFont="1" applyProtection="1">
      <protection locked="0"/>
    </xf>
    <xf numFmtId="0" fontId="6" fillId="0" borderId="0" xfId="0" applyFont="1" applyAlignment="1" applyProtection="1">
      <alignment wrapText="1"/>
      <protection locked="0"/>
    </xf>
    <xf numFmtId="0" fontId="0" fillId="0" borderId="0" xfId="0" applyProtection="1">
      <protection locked="0"/>
    </xf>
    <xf numFmtId="165" fontId="0" fillId="2" borderId="0" xfId="1" applyNumberFormat="1" applyFont="1" applyFill="1" applyProtection="1">
      <protection locked="0"/>
    </xf>
    <xf numFmtId="0" fontId="4" fillId="2" borderId="2" xfId="0" applyFont="1" applyFill="1" applyBorder="1" applyAlignment="1" applyProtection="1">
      <alignment horizontal="center"/>
      <protection locked="0"/>
    </xf>
    <xf numFmtId="0" fontId="4" fillId="2" borderId="2" xfId="0" applyFont="1" applyFill="1" applyBorder="1" applyProtection="1">
      <protection locked="0"/>
    </xf>
    <xf numFmtId="0" fontId="3" fillId="0" borderId="0" xfId="0" applyFont="1" applyAlignment="1" applyProtection="1">
      <alignment horizontal="right"/>
      <protection locked="0"/>
    </xf>
    <xf numFmtId="4" fontId="4" fillId="0" borderId="0" xfId="0" applyNumberFormat="1" applyFont="1" applyProtection="1">
      <protection locked="0"/>
    </xf>
    <xf numFmtId="0" fontId="4" fillId="0" borderId="0" xfId="0" applyFont="1" applyAlignment="1" applyProtection="1">
      <alignment wrapText="1"/>
      <protection locked="0"/>
    </xf>
    <xf numFmtId="0" fontId="9" fillId="0" borderId="0" xfId="0" applyFont="1" applyAlignment="1" applyProtection="1">
      <alignment horizontal="center" wrapText="1"/>
      <protection locked="0"/>
    </xf>
    <xf numFmtId="4" fontId="3" fillId="2" borderId="2" xfId="0" applyNumberFormat="1" applyFont="1" applyFill="1" applyBorder="1" applyProtection="1">
      <protection locked="0"/>
    </xf>
    <xf numFmtId="0" fontId="3" fillId="0" borderId="0" xfId="0" applyFont="1" applyAlignment="1" applyProtection="1">
      <alignment horizontal="center"/>
      <protection locked="0"/>
    </xf>
    <xf numFmtId="10" fontId="3" fillId="2" borderId="0" xfId="2" applyNumberFormat="1" applyFont="1" applyFill="1" applyProtection="1">
      <protection locked="0"/>
    </xf>
    <xf numFmtId="0" fontId="0" fillId="0" borderId="14" xfId="0" applyBorder="1"/>
    <xf numFmtId="0" fontId="2" fillId="0" borderId="3" xfId="0" applyFont="1" applyBorder="1" applyAlignment="1">
      <alignment horizontal="right"/>
    </xf>
    <xf numFmtId="0" fontId="0" fillId="0" borderId="4" xfId="0" applyBorder="1"/>
    <xf numFmtId="10" fontId="0" fillId="2" borderId="4" xfId="2" applyNumberFormat="1" applyFont="1" applyFill="1" applyBorder="1"/>
    <xf numFmtId="0" fontId="2" fillId="0" borderId="12" xfId="0" applyFont="1" applyBorder="1"/>
    <xf numFmtId="0" fontId="0" fillId="0" borderId="9" xfId="0" applyBorder="1"/>
    <xf numFmtId="0" fontId="2" fillId="0" borderId="13" xfId="0" applyFont="1" applyBorder="1"/>
    <xf numFmtId="0" fontId="2" fillId="0" borderId="12" xfId="0" applyFont="1" applyBorder="1" applyAlignment="1">
      <alignment horizontal="right"/>
    </xf>
    <xf numFmtId="0" fontId="0" fillId="0" borderId="11" xfId="0" applyBorder="1"/>
    <xf numFmtId="0" fontId="5" fillId="2" borderId="2" xfId="0" applyFont="1" applyFill="1" applyBorder="1" applyProtection="1">
      <protection locked="0"/>
    </xf>
    <xf numFmtId="0" fontId="12" fillId="0" borderId="0" xfId="4" applyFont="1"/>
    <xf numFmtId="0" fontId="11" fillId="0" borderId="0" xfId="4"/>
    <xf numFmtId="0" fontId="12" fillId="0" borderId="0" xfId="4" applyFont="1" applyAlignment="1">
      <alignment horizontal="center"/>
    </xf>
    <xf numFmtId="167" fontId="12" fillId="0" borderId="0" xfId="4" applyNumberFormat="1" applyFont="1"/>
    <xf numFmtId="0" fontId="13" fillId="0" borderId="0" xfId="0" applyFont="1" applyAlignment="1">
      <alignment vertical="center"/>
    </xf>
    <xf numFmtId="0" fontId="12" fillId="0" borderId="0" xfId="4" applyFont="1" applyAlignment="1">
      <alignment horizontal="right"/>
    </xf>
    <xf numFmtId="5" fontId="12" fillId="0" borderId="0" xfId="1" applyNumberFormat="1" applyFont="1" applyAlignment="1">
      <alignment horizontal="right"/>
    </xf>
    <xf numFmtId="0" fontId="11" fillId="0" borderId="0" xfId="4" applyAlignment="1">
      <alignment horizontal="right"/>
    </xf>
    <xf numFmtId="0" fontId="14" fillId="0" borderId="0" xfId="4" applyFont="1"/>
    <xf numFmtId="0" fontId="15" fillId="0" borderId="0" xfId="6" applyAlignment="1">
      <alignment vertical="center"/>
    </xf>
    <xf numFmtId="0" fontId="11" fillId="2" borderId="0" xfId="0" applyFont="1" applyFill="1"/>
    <xf numFmtId="0" fontId="11" fillId="2" borderId="0" xfId="4" applyFill="1"/>
    <xf numFmtId="43" fontId="11" fillId="2" borderId="0" xfId="1" applyFont="1" applyFill="1"/>
    <xf numFmtId="7" fontId="11" fillId="2" borderId="0" xfId="1" applyNumberFormat="1" applyFont="1" applyFill="1"/>
    <xf numFmtId="0" fontId="11" fillId="2" borderId="0" xfId="4" applyFill="1" applyAlignment="1">
      <alignment horizontal="center"/>
    </xf>
    <xf numFmtId="0" fontId="11" fillId="2" borderId="0" xfId="0" applyFont="1" applyFill="1" applyAlignment="1">
      <alignment horizontal="center" vertical="top" wrapText="1"/>
    </xf>
    <xf numFmtId="6" fontId="0" fillId="0" borderId="0" xfId="0" applyNumberFormat="1"/>
    <xf numFmtId="167" fontId="0" fillId="0" borderId="0" xfId="0" applyNumberFormat="1"/>
    <xf numFmtId="43" fontId="0" fillId="0" borderId="0" xfId="1" applyFont="1"/>
    <xf numFmtId="0" fontId="15" fillId="0" borderId="0" xfId="6"/>
    <xf numFmtId="0" fontId="19" fillId="0" borderId="0" xfId="3" applyFont="1"/>
    <xf numFmtId="0" fontId="10" fillId="0" borderId="0" xfId="3"/>
    <xf numFmtId="0" fontId="17" fillId="3" borderId="0" xfId="3" applyFont="1" applyFill="1"/>
    <xf numFmtId="0" fontId="18" fillId="3" borderId="0" xfId="3" applyFont="1" applyFill="1"/>
    <xf numFmtId="0" fontId="20" fillId="0" borderId="2" xfId="3" applyFont="1" applyBorder="1"/>
    <xf numFmtId="168" fontId="20" fillId="0" borderId="2" xfId="3" applyNumberFormat="1" applyFont="1" applyBorder="1"/>
    <xf numFmtId="0" fontId="20" fillId="0" borderId="10" xfId="3" applyFont="1" applyBorder="1" applyAlignment="1">
      <alignment horizontal="left" vertical="top" wrapText="1"/>
    </xf>
    <xf numFmtId="168" fontId="20" fillId="0" borderId="10" xfId="3" applyNumberFormat="1" applyFont="1" applyBorder="1"/>
    <xf numFmtId="0" fontId="20" fillId="0" borderId="5" xfId="3" applyFont="1" applyBorder="1" applyAlignment="1">
      <alignment wrapText="1"/>
    </xf>
    <xf numFmtId="0" fontId="22" fillId="4" borderId="5" xfId="3" applyFont="1" applyFill="1" applyBorder="1" applyAlignment="1">
      <alignment wrapText="1"/>
    </xf>
    <xf numFmtId="0" fontId="20" fillId="0" borderId="0" xfId="3" applyFont="1" applyAlignment="1">
      <alignment wrapText="1"/>
    </xf>
    <xf numFmtId="9" fontId="20" fillId="0" borderId="0" xfId="8" applyFont="1" applyAlignment="1">
      <alignment horizontal="center"/>
    </xf>
    <xf numFmtId="168" fontId="20" fillId="0" borderId="2" xfId="9" applyNumberFormat="1" applyFont="1" applyBorder="1" applyAlignment="1">
      <alignment horizontal="right"/>
    </xf>
    <xf numFmtId="0" fontId="20" fillId="0" borderId="2" xfId="3" applyFont="1" applyBorder="1" applyAlignment="1">
      <alignment wrapText="1"/>
    </xf>
    <xf numFmtId="168" fontId="20" fillId="0" borderId="10" xfId="9" applyNumberFormat="1" applyFont="1" applyBorder="1" applyAlignment="1">
      <alignment horizontal="right"/>
    </xf>
    <xf numFmtId="0" fontId="20" fillId="0" borderId="5" xfId="3" applyFont="1" applyBorder="1"/>
    <xf numFmtId="0" fontId="22" fillId="4" borderId="5" xfId="3" applyFont="1" applyFill="1" applyBorder="1"/>
    <xf numFmtId="0" fontId="10" fillId="0" borderId="0" xfId="3" applyAlignment="1">
      <alignment horizontal="center" vertical="center"/>
    </xf>
    <xf numFmtId="0" fontId="15" fillId="0" borderId="0" xfId="6" applyProtection="1">
      <protection locked="0"/>
    </xf>
    <xf numFmtId="0" fontId="23" fillId="0" borderId="0" xfId="0" applyFont="1"/>
    <xf numFmtId="0" fontId="24" fillId="0" borderId="0" xfId="0" applyFont="1"/>
    <xf numFmtId="165" fontId="0" fillId="0" borderId="0" xfId="1" applyNumberFormat="1" applyFont="1"/>
    <xf numFmtId="165" fontId="0" fillId="0" borderId="0" xfId="0" applyNumberFormat="1"/>
    <xf numFmtId="0" fontId="25" fillId="0" borderId="0" xfId="0" applyFont="1" applyProtection="1">
      <protection locked="0"/>
    </xf>
    <xf numFmtId="4" fontId="25" fillId="0" borderId="0" xfId="0" applyNumberFormat="1" applyFont="1" applyProtection="1">
      <protection locked="0"/>
    </xf>
    <xf numFmtId="0" fontId="26" fillId="0" borderId="5" xfId="0" applyFont="1" applyBorder="1" applyProtection="1">
      <protection locked="0"/>
    </xf>
    <xf numFmtId="0" fontId="26" fillId="0" borderId="6" xfId="0" applyFont="1" applyBorder="1" applyProtection="1">
      <protection locked="0"/>
    </xf>
    <xf numFmtId="0" fontId="26" fillId="0" borderId="7" xfId="0" applyFont="1" applyBorder="1" applyProtection="1">
      <protection locked="0"/>
    </xf>
    <xf numFmtId="4" fontId="26" fillId="2" borderId="2" xfId="0" applyNumberFormat="1" applyFont="1" applyFill="1" applyBorder="1" applyProtection="1">
      <protection locked="0"/>
    </xf>
    <xf numFmtId="0" fontId="26" fillId="0" borderId="0" xfId="0" applyFont="1" applyProtection="1">
      <protection locked="0"/>
    </xf>
    <xf numFmtId="0" fontId="26" fillId="0" borderId="8" xfId="0" applyFont="1" applyBorder="1" applyProtection="1">
      <protection locked="0"/>
    </xf>
    <xf numFmtId="4" fontId="25" fillId="0" borderId="2" xfId="0" applyNumberFormat="1" applyFont="1" applyBorder="1" applyProtection="1">
      <protection locked="0"/>
    </xf>
    <xf numFmtId="3" fontId="4" fillId="2" borderId="2" xfId="0" applyNumberFormat="1" applyFont="1" applyFill="1" applyBorder="1" applyProtection="1">
      <protection locked="0"/>
    </xf>
    <xf numFmtId="3" fontId="4" fillId="0" borderId="2" xfId="0" applyNumberFormat="1" applyFont="1" applyBorder="1" applyProtection="1">
      <protection locked="0"/>
    </xf>
    <xf numFmtId="3" fontId="3" fillId="2" borderId="2" xfId="0" applyNumberFormat="1" applyFont="1" applyFill="1" applyBorder="1" applyProtection="1">
      <protection locked="0"/>
    </xf>
    <xf numFmtId="165" fontId="0" fillId="2" borderId="11" xfId="1" applyNumberFormat="1" applyFont="1" applyFill="1" applyBorder="1"/>
    <xf numFmtId="165" fontId="0" fillId="0" borderId="0" xfId="1" applyNumberFormat="1" applyFont="1" applyBorder="1"/>
    <xf numFmtId="165" fontId="0" fillId="0" borderId="1" xfId="1" applyNumberFormat="1" applyFont="1" applyBorder="1"/>
    <xf numFmtId="165" fontId="0" fillId="2" borderId="0" xfId="1" applyNumberFormat="1" applyFont="1" applyFill="1" applyBorder="1"/>
    <xf numFmtId="165" fontId="0" fillId="2" borderId="1" xfId="1" applyNumberFormat="1" applyFont="1" applyFill="1" applyBorder="1"/>
    <xf numFmtId="165" fontId="0" fillId="0" borderId="1" xfId="0" applyNumberFormat="1" applyBorder="1"/>
    <xf numFmtId="0" fontId="29" fillId="0" borderId="0" xfId="0" applyFont="1"/>
    <xf numFmtId="10" fontId="0" fillId="0" borderId="0" xfId="2" applyNumberFormat="1" applyFont="1"/>
    <xf numFmtId="0" fontId="11" fillId="2" borderId="0" xfId="4" applyFill="1" applyAlignment="1">
      <alignment horizontal="left"/>
    </xf>
    <xf numFmtId="0" fontId="30" fillId="0" borderId="2" xfId="4" applyFont="1" applyBorder="1"/>
    <xf numFmtId="0" fontId="30" fillId="0" borderId="2" xfId="4" applyFont="1" applyBorder="1" applyAlignment="1">
      <alignment horizontal="left"/>
    </xf>
    <xf numFmtId="0" fontId="30" fillId="0" borderId="2" xfId="4" applyFont="1" applyBorder="1" applyAlignment="1">
      <alignment horizontal="center"/>
    </xf>
    <xf numFmtId="0" fontId="30" fillId="0" borderId="2" xfId="4" applyFont="1" applyBorder="1" applyAlignment="1">
      <alignment horizontal="right"/>
    </xf>
    <xf numFmtId="0" fontId="31" fillId="2" borderId="2" xfId="4" applyFont="1" applyFill="1" applyBorder="1" applyAlignment="1">
      <alignment vertical="top"/>
    </xf>
    <xf numFmtId="0" fontId="32" fillId="2" borderId="2" xfId="4" applyFont="1" applyFill="1" applyBorder="1" applyAlignment="1">
      <alignment vertical="top"/>
    </xf>
    <xf numFmtId="0" fontId="32" fillId="2" borderId="2" xfId="4" applyFont="1" applyFill="1" applyBorder="1" applyAlignment="1">
      <alignment vertical="top" wrapText="1"/>
    </xf>
    <xf numFmtId="167" fontId="32" fillId="2" borderId="2" xfId="7" applyNumberFormat="1" applyFont="1" applyFill="1" applyBorder="1" applyAlignment="1">
      <alignment vertical="top"/>
    </xf>
    <xf numFmtId="167" fontId="32" fillId="2" borderId="2" xfId="4" applyNumberFormat="1" applyFont="1" applyFill="1" applyBorder="1" applyAlignment="1">
      <alignment vertical="top"/>
    </xf>
    <xf numFmtId="167" fontId="32" fillId="0" borderId="2" xfId="4" applyNumberFormat="1" applyFont="1" applyBorder="1" applyAlignment="1">
      <alignment vertical="top"/>
    </xf>
    <xf numFmtId="0" fontId="31" fillId="2" borderId="2" xfId="4" applyFont="1" applyFill="1" applyBorder="1"/>
    <xf numFmtId="0" fontId="32" fillId="2" borderId="2" xfId="4" applyFont="1" applyFill="1" applyBorder="1"/>
    <xf numFmtId="167" fontId="32" fillId="2" borderId="2" xfId="4" applyNumberFormat="1" applyFont="1" applyFill="1" applyBorder="1"/>
    <xf numFmtId="8" fontId="32" fillId="2" borderId="2" xfId="5" applyFont="1" applyFill="1" applyBorder="1"/>
    <xf numFmtId="0" fontId="32" fillId="2" borderId="2" xfId="4" applyFont="1" applyFill="1" applyBorder="1" applyAlignment="1">
      <alignment wrapText="1"/>
    </xf>
    <xf numFmtId="0" fontId="32" fillId="0" borderId="2" xfId="4" applyFont="1" applyBorder="1"/>
    <xf numFmtId="0" fontId="31" fillId="0" borderId="2" xfId="4" applyFont="1" applyBorder="1"/>
    <xf numFmtId="8" fontId="32" fillId="0" borderId="2" xfId="5" applyFont="1" applyBorder="1"/>
    <xf numFmtId="167" fontId="32" fillId="0" borderId="2" xfId="4" applyNumberFormat="1" applyFont="1" applyBorder="1"/>
    <xf numFmtId="0" fontId="32" fillId="0" borderId="0" xfId="4" applyFont="1"/>
    <xf numFmtId="167" fontId="30" fillId="0" borderId="0" xfId="4" applyNumberFormat="1" applyFont="1"/>
    <xf numFmtId="43" fontId="2" fillId="0" borderId="0" xfId="1" applyFont="1"/>
    <xf numFmtId="10" fontId="4" fillId="2" borderId="2" xfId="2" applyNumberFormat="1" applyFont="1" applyFill="1" applyBorder="1" applyProtection="1">
      <protection locked="0"/>
    </xf>
    <xf numFmtId="0" fontId="0" fillId="0" borderId="0" xfId="0" applyAlignment="1">
      <alignment horizontal="right"/>
    </xf>
    <xf numFmtId="0" fontId="4"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3" fontId="4" fillId="0" borderId="2" xfId="0" applyNumberFormat="1" applyFont="1" applyBorder="1"/>
    <xf numFmtId="166" fontId="4" fillId="0" borderId="2" xfId="0" applyNumberFormat="1" applyFont="1" applyBorder="1" applyAlignment="1">
      <alignment horizontal="center"/>
    </xf>
    <xf numFmtId="43" fontId="4" fillId="0" borderId="2" xfId="1" applyFont="1" applyBorder="1" applyProtection="1"/>
    <xf numFmtId="43" fontId="0" fillId="0" borderId="0" xfId="1" applyFont="1" applyFill="1" applyProtection="1"/>
    <xf numFmtId="164" fontId="0" fillId="0" borderId="0" xfId="1" applyNumberFormat="1" applyFont="1" applyFill="1" applyProtection="1"/>
    <xf numFmtId="3" fontId="3" fillId="0" borderId="2" xfId="0" applyNumberFormat="1" applyFont="1" applyBorder="1"/>
    <xf numFmtId="0" fontId="2" fillId="0" borderId="0" xfId="0" applyFont="1" applyProtection="1">
      <protection locked="0"/>
    </xf>
    <xf numFmtId="0" fontId="0" fillId="2" borderId="0" xfId="0" applyFill="1" applyProtection="1">
      <protection locked="0"/>
    </xf>
    <xf numFmtId="9" fontId="0" fillId="2" borderId="0" xfId="2" applyFont="1" applyFill="1" applyAlignment="1" applyProtection="1">
      <alignment horizontal="center"/>
      <protection locked="0"/>
    </xf>
    <xf numFmtId="0" fontId="2" fillId="0" borderId="0" xfId="0" applyFont="1" applyAlignment="1" applyProtection="1">
      <alignment horizontal="right"/>
      <protection locked="0"/>
    </xf>
    <xf numFmtId="4" fontId="0" fillId="0" borderId="0" xfId="0" applyNumberFormat="1" applyProtection="1">
      <protection locked="0"/>
    </xf>
    <xf numFmtId="0" fontId="0" fillId="0" borderId="0" xfId="0" applyAlignment="1" applyProtection="1">
      <alignment wrapText="1"/>
      <protection locked="0"/>
    </xf>
    <xf numFmtId="0" fontId="16" fillId="0" borderId="0" xfId="0" applyFont="1" applyProtection="1">
      <protection locked="0"/>
    </xf>
    <xf numFmtId="43" fontId="0" fillId="0" borderId="0" xfId="0" applyNumberFormat="1" applyProtection="1">
      <protection locked="0"/>
    </xf>
    <xf numFmtId="43" fontId="0" fillId="0" borderId="0" xfId="1" applyFont="1" applyProtection="1">
      <protection locked="0"/>
    </xf>
    <xf numFmtId="3" fontId="0" fillId="0" borderId="0" xfId="0" applyNumberFormat="1" applyProtection="1">
      <protection locked="0"/>
    </xf>
    <xf numFmtId="43" fontId="15" fillId="0" borderId="0" xfId="6" applyNumberFormat="1" applyProtection="1">
      <protection locked="0"/>
    </xf>
    <xf numFmtId="165" fontId="0" fillId="0" borderId="0" xfId="0" applyNumberFormat="1" applyProtection="1">
      <protection locked="0"/>
    </xf>
    <xf numFmtId="9" fontId="0" fillId="0" borderId="0" xfId="2" applyFont="1" applyProtection="1">
      <protection locked="0"/>
    </xf>
    <xf numFmtId="3" fontId="0" fillId="0" borderId="2" xfId="0" applyNumberFormat="1" applyBorder="1"/>
    <xf numFmtId="0" fontId="10" fillId="0" borderId="0" xfId="0" applyFont="1" applyAlignment="1">
      <alignment horizontal="center" wrapText="1"/>
    </xf>
    <xf numFmtId="0" fontId="10" fillId="5" borderId="0" xfId="0" applyFont="1" applyFill="1" applyAlignment="1">
      <alignment horizontal="center" wrapText="1"/>
    </xf>
    <xf numFmtId="0" fontId="33" fillId="6" borderId="0" xfId="0" applyFont="1" applyFill="1"/>
    <xf numFmtId="0" fontId="18" fillId="6" borderId="0" xfId="0" applyFont="1" applyFill="1"/>
    <xf numFmtId="0" fontId="18" fillId="5" borderId="0" xfId="0" applyFont="1" applyFill="1"/>
    <xf numFmtId="0" fontId="1" fillId="0" borderId="2" xfId="0" applyFont="1" applyBorder="1" applyAlignment="1" applyProtection="1">
      <alignment horizontal="right" vertical="center"/>
      <protection hidden="1"/>
    </xf>
    <xf numFmtId="0" fontId="1" fillId="2" borderId="2" xfId="0" applyFont="1" applyFill="1" applyBorder="1" applyAlignment="1" applyProtection="1">
      <alignment horizontal="center" vertical="center"/>
      <protection locked="0"/>
    </xf>
    <xf numFmtId="0" fontId="1" fillId="5" borderId="0" xfId="0" applyFont="1" applyFill="1" applyAlignment="1">
      <alignment horizontal="center" vertical="center"/>
    </xf>
    <xf numFmtId="0" fontId="10" fillId="2" borderId="2" xfId="0" applyFont="1" applyFill="1" applyBorder="1" applyAlignment="1">
      <alignment vertical="center"/>
    </xf>
    <xf numFmtId="0" fontId="0" fillId="0" borderId="0" xfId="0" applyAlignment="1">
      <alignment vertical="center"/>
    </xf>
    <xf numFmtId="0" fontId="10" fillId="7" borderId="2" xfId="0" applyFont="1" applyFill="1" applyBorder="1" applyAlignment="1">
      <alignment vertical="center"/>
    </xf>
    <xf numFmtId="0" fontId="20" fillId="0" borderId="2" xfId="0" applyFont="1" applyBorder="1" applyAlignment="1" applyProtection="1">
      <alignment horizontal="right" vertical="center"/>
      <protection hidden="1"/>
    </xf>
    <xf numFmtId="168" fontId="20" fillId="2" borderId="2" xfId="0" applyNumberFormat="1" applyFont="1" applyFill="1" applyBorder="1" applyAlignment="1" applyProtection="1">
      <alignment horizontal="center" vertical="center"/>
      <protection locked="0"/>
    </xf>
    <xf numFmtId="168" fontId="20" fillId="5" borderId="0" xfId="0" applyNumberFormat="1" applyFont="1" applyFill="1" applyAlignment="1">
      <alignment horizontal="center" vertical="center"/>
    </xf>
    <xf numFmtId="0" fontId="20" fillId="0" borderId="10" xfId="0" applyFont="1" applyBorder="1" applyAlignment="1" applyProtection="1">
      <alignment horizontal="right" vertical="center" wrapText="1"/>
      <protection hidden="1"/>
    </xf>
    <xf numFmtId="168" fontId="20" fillId="2" borderId="10" xfId="0" applyNumberFormat="1" applyFont="1" applyFill="1" applyBorder="1" applyAlignment="1" applyProtection="1">
      <alignment horizontal="center" vertical="center"/>
      <protection locked="0"/>
    </xf>
    <xf numFmtId="168" fontId="20" fillId="5" borderId="13" xfId="0" applyNumberFormat="1" applyFont="1" applyFill="1" applyBorder="1" applyAlignment="1">
      <alignment horizontal="center" vertical="center" wrapText="1"/>
    </xf>
    <xf numFmtId="0" fontId="10"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0" fillId="0" borderId="5" xfId="0" applyFont="1" applyBorder="1" applyAlignment="1" applyProtection="1">
      <alignment horizontal="right" vertical="center" wrapText="1"/>
      <protection hidden="1"/>
    </xf>
    <xf numFmtId="169" fontId="21" fillId="7" borderId="2" xfId="8" applyNumberFormat="1" applyFont="1" applyFill="1" applyBorder="1" applyAlignment="1" applyProtection="1">
      <alignment horizontal="center" vertical="center"/>
      <protection hidden="1"/>
    </xf>
    <xf numFmtId="9" fontId="21" fillId="7" borderId="2" xfId="8" applyFont="1" applyFill="1" applyBorder="1" applyAlignment="1" applyProtection="1">
      <alignment horizontal="center" vertical="center"/>
      <protection hidden="1"/>
    </xf>
    <xf numFmtId="0" fontId="20" fillId="0" borderId="5" xfId="0" applyFont="1" applyBorder="1" applyAlignment="1" applyProtection="1">
      <alignment horizontal="right" vertical="center"/>
      <protection hidden="1"/>
    </xf>
    <xf numFmtId="9" fontId="21" fillId="5" borderId="0" xfId="8" applyFont="1" applyFill="1" applyBorder="1" applyAlignment="1" applyProtection="1">
      <alignment horizontal="center" vertical="center"/>
      <protection hidden="1"/>
    </xf>
    <xf numFmtId="0" fontId="0" fillId="5" borderId="0" xfId="0" applyFill="1" applyAlignment="1" applyProtection="1">
      <alignment vertical="center"/>
      <protection hidden="1"/>
    </xf>
    <xf numFmtId="168" fontId="20" fillId="2" borderId="5" xfId="0" applyNumberFormat="1" applyFont="1" applyFill="1" applyBorder="1" applyAlignment="1" applyProtection="1">
      <alignment horizontal="center" vertical="center"/>
      <protection locked="0"/>
    </xf>
    <xf numFmtId="0" fontId="34" fillId="0" borderId="0" xfId="0" applyFont="1"/>
    <xf numFmtId="0" fontId="0" fillId="5" borderId="0" xfId="0" applyFill="1"/>
    <xf numFmtId="0" fontId="34" fillId="0" borderId="0" xfId="0" applyFont="1" applyAlignment="1">
      <alignment horizontal="left" vertical="top" wrapText="1"/>
    </xf>
    <xf numFmtId="0" fontId="34" fillId="5" borderId="0" xfId="0" applyFont="1" applyFill="1" applyAlignment="1">
      <alignment horizontal="left" vertical="top" wrapText="1"/>
    </xf>
    <xf numFmtId="0" fontId="10" fillId="0" borderId="0" xfId="0" applyFont="1"/>
    <xf numFmtId="0" fontId="4" fillId="0" borderId="0" xfId="0" applyFont="1" applyAlignment="1" applyProtection="1">
      <alignment horizontal="right"/>
      <protection locked="0"/>
    </xf>
    <xf numFmtId="0" fontId="4" fillId="2" borderId="5" xfId="0" applyFont="1" applyFill="1" applyBorder="1" applyProtection="1">
      <protection locked="0"/>
    </xf>
    <xf numFmtId="0" fontId="4" fillId="2" borderId="6" xfId="0" applyFont="1" applyFill="1" applyBorder="1" applyProtection="1">
      <protection locked="0"/>
    </xf>
    <xf numFmtId="0" fontId="4" fillId="2" borderId="7" xfId="0" applyFont="1" applyFill="1" applyBorder="1" applyProtection="1">
      <protection locked="0"/>
    </xf>
    <xf numFmtId="0" fontId="3" fillId="0" borderId="5" xfId="0" applyFont="1" applyBorder="1" applyAlignment="1" applyProtection="1">
      <alignment horizontal="center" wrapText="1"/>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3" fillId="2" borderId="2" xfId="0" applyFont="1" applyFill="1" applyBorder="1" applyAlignment="1" applyProtection="1">
      <alignment wrapText="1"/>
      <protection locked="0"/>
    </xf>
    <xf numFmtId="0" fontId="2" fillId="2" borderId="2" xfId="0" applyFont="1" applyFill="1" applyBorder="1" applyProtection="1">
      <protection locked="0"/>
    </xf>
    <xf numFmtId="0" fontId="0" fillId="2" borderId="2" xfId="0" applyFill="1" applyBorder="1" applyProtection="1">
      <protection locked="0"/>
    </xf>
    <xf numFmtId="0" fontId="4" fillId="0" borderId="5" xfId="0" applyFont="1"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3" fillId="0" borderId="1" xfId="0" applyFont="1" applyBorder="1" applyAlignment="1" applyProtection="1">
      <alignment wrapText="1"/>
      <protection locked="0"/>
    </xf>
    <xf numFmtId="3" fontId="4" fillId="0" borderId="5" xfId="0" applyNumberFormat="1" applyFont="1" applyBorder="1" applyProtection="1">
      <protection locked="0"/>
    </xf>
    <xf numFmtId="3" fontId="4" fillId="0" borderId="7" xfId="0" applyNumberFormat="1" applyFont="1" applyBorder="1" applyProtection="1">
      <protection locked="0"/>
    </xf>
    <xf numFmtId="169" fontId="21" fillId="0" borderId="15" xfId="8" applyNumberFormat="1" applyFont="1" applyBorder="1" applyAlignment="1">
      <alignment horizontal="center" vertical="center"/>
    </xf>
    <xf numFmtId="169" fontId="21" fillId="0" borderId="16" xfId="8" applyNumberFormat="1" applyFont="1" applyBorder="1" applyAlignment="1">
      <alignment horizontal="center" vertical="center"/>
    </xf>
    <xf numFmtId="0" fontId="0" fillId="7" borderId="5" xfId="0" applyFill="1" applyBorder="1" applyAlignment="1" applyProtection="1">
      <alignment horizontal="left" vertical="center"/>
      <protection hidden="1"/>
    </xf>
    <xf numFmtId="0" fontId="0" fillId="7" borderId="6" xfId="0" applyFill="1" applyBorder="1" applyAlignment="1" applyProtection="1">
      <alignment horizontal="left" vertical="center"/>
      <protection hidden="1"/>
    </xf>
    <xf numFmtId="0" fontId="0" fillId="7" borderId="7" xfId="0" applyFill="1" applyBorder="1" applyAlignment="1" applyProtection="1">
      <alignment horizontal="left" vertical="center"/>
      <protection hidden="1"/>
    </xf>
    <xf numFmtId="0" fontId="0" fillId="7" borderId="5" xfId="0"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0" fillId="7" borderId="7" xfId="0" applyFill="1" applyBorder="1" applyAlignment="1" applyProtection="1">
      <alignment horizontal="left" vertical="center" wrapText="1"/>
      <protection hidden="1"/>
    </xf>
    <xf numFmtId="0" fontId="34" fillId="0" borderId="0" xfId="0" applyFont="1" applyAlignment="1">
      <alignment horizontal="left" vertical="top" wrapText="1"/>
    </xf>
    <xf numFmtId="0" fontId="30" fillId="0" borderId="5" xfId="4" applyFont="1" applyBorder="1" applyAlignment="1">
      <alignment horizontal="center"/>
    </xf>
    <xf numFmtId="0" fontId="30" fillId="0" borderId="7" xfId="4" applyFont="1" applyBorder="1" applyAlignment="1">
      <alignment horizontal="center"/>
    </xf>
  </cellXfs>
  <cellStyles count="10">
    <cellStyle name="Comma" xfId="1" builtinId="3"/>
    <cellStyle name="Currency" xfId="7" builtinId="4"/>
    <cellStyle name="Currency 2" xfId="9" xr:uid="{00000000-0005-0000-0000-000002000000}"/>
    <cellStyle name="Currency_Magis Group LLC 2010 Budgetv.5a" xfId="5" xr:uid="{00000000-0005-0000-0000-000003000000}"/>
    <cellStyle name="Hyperlink" xfId="6" builtinId="8"/>
    <cellStyle name="Normal" xfId="0" builtinId="0"/>
    <cellStyle name="Normal 2" xfId="3" xr:uid="{00000000-0005-0000-0000-000006000000}"/>
    <cellStyle name="Normal_Magis Group LLC 2010 Budgetv.5a" xfId="4" xr:uid="{00000000-0005-0000-0000-000007000000}"/>
    <cellStyle name="Percent" xfId="2" builtinId="5"/>
    <cellStyle name="Percent 2" xfId="8" xr:uid="{00000000-0005-0000-0000-00000A000000}"/>
  </cellStyles>
  <dxfs count="7">
    <dxf>
      <font>
        <color theme="4" tint="0.79998168889431442"/>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95250</xdr:colOff>
      <xdr:row>3</xdr:row>
      <xdr:rowOff>19050</xdr:rowOff>
    </xdr:from>
    <xdr:ext cx="5819775" cy="95346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590550"/>
          <a:ext cx="5819775" cy="953466"/>
        </a:xfrm>
        <a:prstGeom prst="rect">
          <a:avLst/>
        </a:prstGeom>
        <a:solidFill>
          <a:sysClr val="window" lastClr="FFFFFF"/>
        </a:solidFill>
        <a:ln cmpd="dbl">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This worksheet contains an aid in determining in a general sense where costs will be allocated for the grant. The applicant is allowed up to 7% fee. The applicant should also provide enough indirect costs through the allocation of an indirect rate to cover administrative costs. This model can also be adjusted if fringe is proposed as a direct cost, as allowed on the DOE Budget worksheet. The indirect rate in this model is applied to all direct costs.</a:t>
          </a:r>
          <a:r>
            <a:rPr lang="en-US" sz="1100" baseline="0"/>
            <a:t> </a:t>
          </a:r>
          <a:endParaRPr lang="en-US" sz="1100"/>
        </a:p>
      </xdr:txBody>
    </xdr:sp>
    <xdr:clientData/>
  </xdr:oneCellAnchor>
  <xdr:twoCellAnchor editAs="oneCell">
    <xdr:from>
      <xdr:col>5</xdr:col>
      <xdr:colOff>142875</xdr:colOff>
      <xdr:row>0</xdr:row>
      <xdr:rowOff>57150</xdr:rowOff>
    </xdr:from>
    <xdr:to>
      <xdr:col>7</xdr:col>
      <xdr:colOff>457200</xdr:colOff>
      <xdr:row>3</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86150" y="57150"/>
          <a:ext cx="1533525" cy="533400"/>
        </a:xfrm>
        <a:prstGeom prst="rect">
          <a:avLst/>
        </a:prstGeom>
      </xdr:spPr>
    </xdr:pic>
    <xdr:clientData/>
  </xdr:twoCellAnchor>
  <xdr:twoCellAnchor>
    <xdr:from>
      <xdr:col>2</xdr:col>
      <xdr:colOff>326231</xdr:colOff>
      <xdr:row>15</xdr:row>
      <xdr:rowOff>107156</xdr:rowOff>
    </xdr:from>
    <xdr:to>
      <xdr:col>2</xdr:col>
      <xdr:colOff>326232</xdr:colOff>
      <xdr:row>17</xdr:row>
      <xdr:rowOff>102396</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flipH="1" flipV="1">
          <a:off x="2717006" y="2964656"/>
          <a:ext cx="1" cy="3762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7144</xdr:colOff>
      <xdr:row>17</xdr:row>
      <xdr:rowOff>97631</xdr:rowOff>
    </xdr:from>
    <xdr:to>
      <xdr:col>2</xdr:col>
      <xdr:colOff>328614</xdr:colOff>
      <xdr:row>17</xdr:row>
      <xdr:rowOff>102394</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flipH="1" flipV="1">
          <a:off x="2397919" y="3336131"/>
          <a:ext cx="321470"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45244</xdr:colOff>
      <xdr:row>18</xdr:row>
      <xdr:rowOff>95252</xdr:rowOff>
    </xdr:from>
    <xdr:to>
      <xdr:col>3</xdr:col>
      <xdr:colOff>57151</xdr:colOff>
      <xdr:row>30</xdr:row>
      <xdr:rowOff>119063</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flipH="1">
          <a:off x="2978944" y="3524252"/>
          <a:ext cx="11907" cy="230981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4764</xdr:colOff>
      <xdr:row>18</xdr:row>
      <xdr:rowOff>92869</xdr:rowOff>
    </xdr:from>
    <xdr:to>
      <xdr:col>3</xdr:col>
      <xdr:colOff>61913</xdr:colOff>
      <xdr:row>18</xdr:row>
      <xdr:rowOff>95250</xdr:rowOff>
    </xdr:to>
    <xdr:cxnSp macro="">
      <xdr:nvCxnSpPr>
        <xdr:cNvPr id="12" name="Straight Arrow Connector 11">
          <a:extLst>
            <a:ext uri="{FF2B5EF4-FFF2-40B4-BE49-F238E27FC236}">
              <a16:creationId xmlns:a16="http://schemas.microsoft.com/office/drawing/2014/main" id="{00000000-0008-0000-0000-00000C000000}"/>
            </a:ext>
          </a:extLst>
        </xdr:cNvPr>
        <xdr:cNvCxnSpPr/>
      </xdr:nvCxnSpPr>
      <xdr:spPr>
        <a:xfrm flipH="1" flipV="1">
          <a:off x="2395539" y="3521869"/>
          <a:ext cx="600074" cy="23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4763</xdr:colOff>
      <xdr:row>15</xdr:row>
      <xdr:rowOff>107157</xdr:rowOff>
    </xdr:from>
    <xdr:to>
      <xdr:col>2</xdr:col>
      <xdr:colOff>328613</xdr:colOff>
      <xdr:row>15</xdr:row>
      <xdr:rowOff>109538</xdr:rowOff>
    </xdr:to>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2395538" y="2964657"/>
          <a:ext cx="323850" cy="23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30</xdr:row>
      <xdr:rowOff>116681</xdr:rowOff>
    </xdr:from>
    <xdr:to>
      <xdr:col>3</xdr:col>
      <xdr:colOff>45244</xdr:colOff>
      <xdr:row>30</xdr:row>
      <xdr:rowOff>116682</xdr:rowOff>
    </xdr:to>
    <xdr:cxnSp macro="">
      <xdr:nvCxnSpPr>
        <xdr:cNvPr id="25" name="Straight Connector 24">
          <a:extLst>
            <a:ext uri="{FF2B5EF4-FFF2-40B4-BE49-F238E27FC236}">
              <a16:creationId xmlns:a16="http://schemas.microsoft.com/office/drawing/2014/main" id="{00000000-0008-0000-0000-000019000000}"/>
            </a:ext>
          </a:extLst>
        </xdr:cNvPr>
        <xdr:cNvCxnSpPr/>
      </xdr:nvCxnSpPr>
      <xdr:spPr>
        <a:xfrm flipV="1">
          <a:off x="2390776" y="5831681"/>
          <a:ext cx="588168"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476250</xdr:colOff>
      <xdr:row>1</xdr:row>
      <xdr:rowOff>9525</xdr:rowOff>
    </xdr:from>
    <xdr:to>
      <xdr:col>13</xdr:col>
      <xdr:colOff>788987</xdr:colOff>
      <xdr:row>3</xdr:row>
      <xdr:rowOff>160337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48650" y="200025"/>
          <a:ext cx="1533525"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gsa.gov/portal/content/10487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www.bls.gov/oes/current/oes_nat.htm" TargetMode="External"/><Relationship Id="rId2" Type="http://schemas.openxmlformats.org/officeDocument/2006/relationships/hyperlink" Target="http://www.bls.gov/oes/current/oes_nat.htm" TargetMode="External"/><Relationship Id="rId1" Type="http://schemas.openxmlformats.org/officeDocument/2006/relationships/hyperlink" Target="https://www.bls.gov/oes/current/oes_nat.htm" TargetMode="External"/><Relationship Id="rId6" Type="http://schemas.openxmlformats.org/officeDocument/2006/relationships/hyperlink" Target="https://www.moneyunder30.com/best-salary-information-websites" TargetMode="External"/><Relationship Id="rId5" Type="http://schemas.openxmlformats.org/officeDocument/2006/relationships/hyperlink" Target="http://www.bls.gov/oes/current/oes_nat.htm" TargetMode="External"/><Relationship Id="rId4" Type="http://schemas.openxmlformats.org/officeDocument/2006/relationships/hyperlink" Target="http://www.bls.gov/oes/current/oes_nat.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opLeftCell="A9" zoomScaleNormal="100" workbookViewId="0">
      <selection activeCell="B23" sqref="B23"/>
    </sheetView>
  </sheetViews>
  <sheetFormatPr defaultRowHeight="14.5"/>
  <cols>
    <col min="1" max="1" width="22.453125" customWidth="1"/>
    <col min="2" max="2" width="13.453125" customWidth="1"/>
    <col min="3" max="3" width="10.1796875" customWidth="1"/>
    <col min="4" max="4" width="2.54296875" customWidth="1"/>
    <col min="9" max="9" width="11.1796875" bestFit="1" customWidth="1"/>
    <col min="13" max="13" width="12" bestFit="1" customWidth="1"/>
  </cols>
  <sheetData>
    <row r="1" spans="1:9">
      <c r="A1" s="1" t="s">
        <v>0</v>
      </c>
    </row>
    <row r="2" spans="1:9">
      <c r="A2" s="1" t="s">
        <v>1</v>
      </c>
    </row>
    <row r="10" spans="1:9">
      <c r="A10" s="4" t="s">
        <v>2</v>
      </c>
      <c r="B10" s="4"/>
      <c r="C10" s="4"/>
      <c r="D10" s="4"/>
      <c r="E10" s="4"/>
      <c r="F10" s="4"/>
      <c r="I10" s="1"/>
    </row>
    <row r="11" spans="1:9">
      <c r="I11" s="120"/>
    </row>
    <row r="12" spans="1:9">
      <c r="A12" s="31" t="s">
        <v>3</v>
      </c>
      <c r="B12" s="90">
        <v>200000</v>
      </c>
      <c r="C12" s="25"/>
      <c r="E12" s="51" t="s">
        <v>4</v>
      </c>
    </row>
    <row r="13" spans="1:9">
      <c r="A13" s="26" t="s">
        <v>5</v>
      </c>
      <c r="B13" s="77">
        <f>B12-B14</f>
        <v>13084.11214953271</v>
      </c>
      <c r="C13" s="28">
        <v>7.0000000000000007E-2</v>
      </c>
      <c r="E13" t="s">
        <v>6</v>
      </c>
    </row>
    <row r="14" spans="1:9">
      <c r="A14" s="26" t="s">
        <v>7</v>
      </c>
      <c r="B14" s="91">
        <f>B12/(1+C13)</f>
        <v>186915.88785046729</v>
      </c>
      <c r="C14" s="27"/>
      <c r="E14" t="s">
        <v>8</v>
      </c>
    </row>
    <row r="15" spans="1:9">
      <c r="A15" s="26" t="s">
        <v>9</v>
      </c>
      <c r="B15" s="77">
        <f>B14-B16</f>
        <v>37383.177570093452</v>
      </c>
      <c r="C15" s="28">
        <v>0.25</v>
      </c>
      <c r="E15" t="s">
        <v>10</v>
      </c>
    </row>
    <row r="16" spans="1:9">
      <c r="A16" s="32" t="s">
        <v>11</v>
      </c>
      <c r="B16" s="92">
        <f>B14/(1+C15)</f>
        <v>149532.71028037384</v>
      </c>
      <c r="C16" s="30"/>
      <c r="E16" t="s">
        <v>12</v>
      </c>
    </row>
    <row r="17" spans="1:13">
      <c r="A17" s="1"/>
      <c r="K17" s="97">
        <f>(B15+B24)/B23</f>
        <v>0.46247420694633939</v>
      </c>
    </row>
    <row r="18" spans="1:13">
      <c r="A18" s="3" t="s">
        <v>13</v>
      </c>
      <c r="B18" s="77">
        <f>B16</f>
        <v>149532.71028037384</v>
      </c>
    </row>
    <row r="19" spans="1:13">
      <c r="A19" s="3" t="s">
        <v>14</v>
      </c>
      <c r="B19" s="77">
        <f>B31</f>
        <v>149533</v>
      </c>
    </row>
    <row r="20" spans="1:13">
      <c r="A20" s="3" t="s">
        <v>15</v>
      </c>
      <c r="B20" s="77">
        <f>B18-B19</f>
        <v>-0.28971962616196834</v>
      </c>
    </row>
    <row r="21" spans="1:13">
      <c r="A21" s="1"/>
    </row>
    <row r="22" spans="1:13">
      <c r="A22" s="31" t="s">
        <v>16</v>
      </c>
      <c r="B22" s="33"/>
      <c r="C22" s="25"/>
      <c r="E22" t="s">
        <v>17</v>
      </c>
    </row>
    <row r="23" spans="1:13">
      <c r="A23" s="26" t="s">
        <v>18</v>
      </c>
      <c r="B23" s="93">
        <f>147416-37383-29200</f>
        <v>80833</v>
      </c>
      <c r="C23" s="27"/>
      <c r="M23" s="2"/>
    </row>
    <row r="24" spans="1:13">
      <c r="A24" s="26" t="s">
        <v>19</v>
      </c>
      <c r="B24" s="91">
        <f>B23*C24</f>
        <v>0</v>
      </c>
      <c r="C24" s="28">
        <v>0</v>
      </c>
      <c r="E24" t="s">
        <v>20</v>
      </c>
    </row>
    <row r="25" spans="1:13">
      <c r="A25" s="26" t="s">
        <v>21</v>
      </c>
      <c r="B25" s="93">
        <v>0</v>
      </c>
      <c r="C25" s="27"/>
      <c r="E25" t="s">
        <v>250</v>
      </c>
    </row>
    <row r="26" spans="1:13">
      <c r="A26" s="26" t="s">
        <v>22</v>
      </c>
      <c r="B26" s="93">
        <v>2500</v>
      </c>
      <c r="C26" s="27"/>
    </row>
    <row r="27" spans="1:13">
      <c r="A27" s="26" t="s">
        <v>23</v>
      </c>
      <c r="B27" s="93">
        <v>0</v>
      </c>
      <c r="C27" s="27"/>
    </row>
    <row r="28" spans="1:13">
      <c r="A28" s="26" t="s">
        <v>24</v>
      </c>
      <c r="B28" s="93">
        <v>0</v>
      </c>
      <c r="C28" s="27"/>
      <c r="E28" t="s">
        <v>251</v>
      </c>
    </row>
    <row r="29" spans="1:13">
      <c r="A29" s="26" t="s">
        <v>25</v>
      </c>
      <c r="B29" s="93">
        <v>65000</v>
      </c>
      <c r="C29" s="27"/>
      <c r="E29" t="s">
        <v>26</v>
      </c>
    </row>
    <row r="30" spans="1:13">
      <c r="A30" s="26" t="s">
        <v>27</v>
      </c>
      <c r="B30" s="94">
        <v>1200</v>
      </c>
      <c r="C30" s="27"/>
    </row>
    <row r="31" spans="1:13">
      <c r="A31" s="29" t="s">
        <v>28</v>
      </c>
      <c r="B31" s="95">
        <f>SUM(B23:B30)</f>
        <v>149533</v>
      </c>
      <c r="C31" s="30"/>
    </row>
    <row r="32" spans="1:13">
      <c r="C32" s="2"/>
    </row>
  </sheetData>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7"/>
  <sheetViews>
    <sheetView topLeftCell="A38" zoomScale="96" zoomScaleNormal="96" workbookViewId="0">
      <selection activeCell="S11" sqref="S11"/>
    </sheetView>
  </sheetViews>
  <sheetFormatPr defaultColWidth="9.08984375" defaultRowHeight="14.5"/>
  <cols>
    <col min="1" max="2" width="9.08984375" style="14"/>
    <col min="3" max="3" width="11.1796875" style="14" customWidth="1"/>
    <col min="4" max="5" width="9.08984375" style="14"/>
    <col min="6" max="6" width="18.81640625" style="14" customWidth="1"/>
    <col min="7" max="7" width="9.08984375" style="14"/>
    <col min="8" max="8" width="13.81640625" style="14" customWidth="1"/>
    <col min="9" max="10" width="11.54296875" style="14" bestFit="1" customWidth="1"/>
    <col min="11" max="11" width="10.54296875" style="14" bestFit="1" customWidth="1"/>
    <col min="12" max="13" width="9.08984375" style="14"/>
    <col min="14" max="14" width="12.1796875" style="14" customWidth="1"/>
    <col min="15" max="15" width="9.08984375" style="14"/>
    <col min="16" max="16" width="11.54296875" style="14" bestFit="1" customWidth="1"/>
    <col min="17" max="16384" width="9.08984375" style="14"/>
  </cols>
  <sheetData>
    <row r="1" spans="1:20">
      <c r="A1" s="132" t="s">
        <v>0</v>
      </c>
    </row>
    <row r="2" spans="1:20">
      <c r="A2" s="132" t="s">
        <v>29</v>
      </c>
    </row>
    <row r="3" spans="1:20">
      <c r="A3" s="132" t="s">
        <v>30</v>
      </c>
    </row>
    <row r="4" spans="1:20" ht="15">
      <c r="A4" s="132" t="s">
        <v>31</v>
      </c>
    </row>
    <row r="6" spans="1:20">
      <c r="A6" s="133" t="s">
        <v>32</v>
      </c>
      <c r="B6" s="133"/>
      <c r="C6" s="133"/>
      <c r="D6" s="133"/>
      <c r="E6" s="133"/>
      <c r="F6" s="133"/>
    </row>
    <row r="8" spans="1:20">
      <c r="A8" s="132" t="s">
        <v>33</v>
      </c>
      <c r="N8" s="191" t="s">
        <v>34</v>
      </c>
      <c r="O8" s="192"/>
      <c r="P8" s="192"/>
      <c r="Q8" s="193"/>
    </row>
    <row r="9" spans="1:20" ht="26.5">
      <c r="A9" s="6" t="s">
        <v>35</v>
      </c>
      <c r="B9" s="6" t="s">
        <v>36</v>
      </c>
      <c r="C9" s="6" t="s">
        <v>37</v>
      </c>
      <c r="D9" s="6" t="s">
        <v>38</v>
      </c>
      <c r="E9" s="6" t="s">
        <v>39</v>
      </c>
      <c r="F9" s="6" t="s">
        <v>40</v>
      </c>
      <c r="G9" s="6" t="s">
        <v>41</v>
      </c>
      <c r="H9" s="6" t="s">
        <v>42</v>
      </c>
      <c r="I9" s="6" t="s">
        <v>43</v>
      </c>
      <c r="J9" s="6" t="s">
        <v>44</v>
      </c>
      <c r="K9" s="6" t="s">
        <v>45</v>
      </c>
      <c r="L9" s="6" t="s">
        <v>46</v>
      </c>
      <c r="M9" s="6" t="s">
        <v>47</v>
      </c>
      <c r="N9" s="21" t="s">
        <v>48</v>
      </c>
      <c r="O9" s="21" t="s">
        <v>49</v>
      </c>
      <c r="P9" s="21" t="s">
        <v>50</v>
      </c>
      <c r="Q9" s="21" t="s">
        <v>51</v>
      </c>
      <c r="R9" s="21" t="s">
        <v>52</v>
      </c>
      <c r="S9" s="134">
        <v>0</v>
      </c>
      <c r="T9" s="13"/>
    </row>
    <row r="10" spans="1:20">
      <c r="A10" s="17" t="s">
        <v>53</v>
      </c>
      <c r="B10" s="17" t="s">
        <v>54</v>
      </c>
      <c r="C10" s="17"/>
      <c r="D10" s="17"/>
      <c r="E10" s="17"/>
      <c r="F10" s="34" t="s">
        <v>55</v>
      </c>
      <c r="G10" s="126">
        <f>P10</f>
        <v>98065</v>
      </c>
      <c r="H10" s="127">
        <f>Q10</f>
        <v>4.615473374487971</v>
      </c>
      <c r="I10" s="10"/>
      <c r="J10" s="10"/>
      <c r="K10" s="126">
        <f>N10*O10</f>
        <v>37717.307692307688</v>
      </c>
      <c r="L10" s="128">
        <f>K10*$S$9</f>
        <v>0</v>
      </c>
      <c r="M10" s="126">
        <f>K10+L10</f>
        <v>37717.307692307688</v>
      </c>
      <c r="N10" s="15">
        <v>800</v>
      </c>
      <c r="O10" s="129">
        <f>P10/2080</f>
        <v>47.146634615384613</v>
      </c>
      <c r="P10" s="15">
        <v>98065</v>
      </c>
      <c r="Q10" s="130">
        <f>N10/173.33</f>
        <v>4.615473374487971</v>
      </c>
    </row>
    <row r="11" spans="1:20">
      <c r="A11" s="17"/>
      <c r="B11" s="17"/>
      <c r="C11" s="17"/>
      <c r="D11" s="17"/>
      <c r="E11" s="17"/>
      <c r="F11" s="17" t="s">
        <v>56</v>
      </c>
      <c r="G11" s="126">
        <f t="shared" ref="G11:G16" si="0">P11</f>
        <v>142000</v>
      </c>
      <c r="H11" s="127">
        <f>Q11</f>
        <v>0.99809611723302361</v>
      </c>
      <c r="I11" s="10"/>
      <c r="J11" s="10"/>
      <c r="K11" s="126">
        <f>N11*O11</f>
        <v>11810.576923076924</v>
      </c>
      <c r="L11" s="128">
        <f t="shared" ref="L11:L16" si="1">K11*$S$9</f>
        <v>0</v>
      </c>
      <c r="M11" s="126">
        <f>K11+L11</f>
        <v>11810.576923076924</v>
      </c>
      <c r="N11" s="15">
        <v>173</v>
      </c>
      <c r="O11" s="129">
        <f>P11/2080</f>
        <v>68.269230769230774</v>
      </c>
      <c r="P11" s="15">
        <v>142000</v>
      </c>
      <c r="Q11" s="130">
        <f>N11/173.33</f>
        <v>0.99809611723302361</v>
      </c>
      <c r="S11" s="73" t="s">
        <v>57</v>
      </c>
    </row>
    <row r="12" spans="1:20">
      <c r="A12" s="17"/>
      <c r="B12" s="17"/>
      <c r="C12" s="17"/>
      <c r="D12" s="17"/>
      <c r="E12" s="17"/>
      <c r="F12" s="17"/>
      <c r="G12" s="126">
        <f t="shared" si="0"/>
        <v>0</v>
      </c>
      <c r="H12" s="127">
        <f t="shared" ref="H12:H16" si="2">Q12</f>
        <v>0</v>
      </c>
      <c r="I12" s="10"/>
      <c r="J12" s="10"/>
      <c r="K12" s="126">
        <f t="shared" ref="K12:K16" si="3">N12*O12</f>
        <v>0</v>
      </c>
      <c r="L12" s="128">
        <f t="shared" si="1"/>
        <v>0</v>
      </c>
      <c r="M12" s="126">
        <f t="shared" ref="M12:M16" si="4">K12+L12</f>
        <v>0</v>
      </c>
      <c r="N12" s="15">
        <v>0</v>
      </c>
      <c r="O12" s="129">
        <f t="shared" ref="O12:O17" si="5">P12/2080</f>
        <v>0</v>
      </c>
      <c r="P12" s="15">
        <v>0</v>
      </c>
      <c r="Q12" s="130">
        <f t="shared" ref="Q12:Q17" si="6">N12/173.33</f>
        <v>0</v>
      </c>
    </row>
    <row r="13" spans="1:20">
      <c r="A13" s="17"/>
      <c r="B13" s="17"/>
      <c r="C13" s="17"/>
      <c r="D13" s="17"/>
      <c r="E13" s="17"/>
      <c r="F13" s="17"/>
      <c r="G13" s="126">
        <f t="shared" si="0"/>
        <v>0</v>
      </c>
      <c r="H13" s="127">
        <f t="shared" si="2"/>
        <v>0</v>
      </c>
      <c r="I13" s="10"/>
      <c r="J13" s="10"/>
      <c r="K13" s="126">
        <f t="shared" si="3"/>
        <v>0</v>
      </c>
      <c r="L13" s="128">
        <f t="shared" si="1"/>
        <v>0</v>
      </c>
      <c r="M13" s="126">
        <f t="shared" si="4"/>
        <v>0</v>
      </c>
      <c r="N13" s="15">
        <v>0</v>
      </c>
      <c r="O13" s="129">
        <f t="shared" si="5"/>
        <v>0</v>
      </c>
      <c r="P13" s="15">
        <v>0</v>
      </c>
      <c r="Q13" s="130">
        <f t="shared" si="6"/>
        <v>0</v>
      </c>
    </row>
    <row r="14" spans="1:20">
      <c r="A14" s="17"/>
      <c r="B14" s="17"/>
      <c r="C14" s="17"/>
      <c r="D14" s="17"/>
      <c r="E14" s="17"/>
      <c r="F14" s="17"/>
      <c r="G14" s="126">
        <f t="shared" si="0"/>
        <v>0</v>
      </c>
      <c r="H14" s="127">
        <f t="shared" si="2"/>
        <v>0</v>
      </c>
      <c r="I14" s="10"/>
      <c r="J14" s="10"/>
      <c r="K14" s="126">
        <f t="shared" si="3"/>
        <v>0</v>
      </c>
      <c r="L14" s="128">
        <f t="shared" si="1"/>
        <v>0</v>
      </c>
      <c r="M14" s="126">
        <f t="shared" si="4"/>
        <v>0</v>
      </c>
      <c r="N14" s="15">
        <v>0</v>
      </c>
      <c r="O14" s="129">
        <f t="shared" si="5"/>
        <v>0</v>
      </c>
      <c r="P14" s="15">
        <v>0</v>
      </c>
      <c r="Q14" s="130">
        <f t="shared" si="6"/>
        <v>0</v>
      </c>
    </row>
    <row r="15" spans="1:20">
      <c r="A15" s="17"/>
      <c r="B15" s="17"/>
      <c r="C15" s="17"/>
      <c r="D15" s="17"/>
      <c r="E15" s="17"/>
      <c r="F15" s="17"/>
      <c r="G15" s="126">
        <f t="shared" si="0"/>
        <v>0</v>
      </c>
      <c r="H15" s="127">
        <f t="shared" si="2"/>
        <v>0</v>
      </c>
      <c r="I15" s="10"/>
      <c r="J15" s="10"/>
      <c r="K15" s="126">
        <f t="shared" si="3"/>
        <v>0</v>
      </c>
      <c r="L15" s="128">
        <f t="shared" si="1"/>
        <v>0</v>
      </c>
      <c r="M15" s="126">
        <f t="shared" si="4"/>
        <v>0</v>
      </c>
      <c r="N15" s="15">
        <v>0</v>
      </c>
      <c r="O15" s="129">
        <f t="shared" si="5"/>
        <v>0</v>
      </c>
      <c r="P15" s="15">
        <v>0</v>
      </c>
      <c r="Q15" s="130">
        <f t="shared" si="6"/>
        <v>0</v>
      </c>
    </row>
    <row r="16" spans="1:20">
      <c r="A16" s="17"/>
      <c r="B16" s="17"/>
      <c r="C16" s="17"/>
      <c r="D16" s="17"/>
      <c r="E16" s="17"/>
      <c r="F16" s="17"/>
      <c r="G16" s="126">
        <f t="shared" si="0"/>
        <v>0</v>
      </c>
      <c r="H16" s="127">
        <f t="shared" si="2"/>
        <v>0</v>
      </c>
      <c r="I16" s="10"/>
      <c r="J16" s="10"/>
      <c r="K16" s="126">
        <f t="shared" si="3"/>
        <v>0</v>
      </c>
      <c r="L16" s="128">
        <f t="shared" si="1"/>
        <v>0</v>
      </c>
      <c r="M16" s="126">
        <f t="shared" si="4"/>
        <v>0</v>
      </c>
      <c r="N16" s="15">
        <v>0</v>
      </c>
      <c r="O16" s="129">
        <f t="shared" si="5"/>
        <v>0</v>
      </c>
      <c r="P16" s="15">
        <v>0</v>
      </c>
      <c r="Q16" s="130">
        <f t="shared" si="6"/>
        <v>0</v>
      </c>
    </row>
    <row r="17" spans="1:19">
      <c r="A17" s="17"/>
      <c r="B17" s="17"/>
      <c r="C17" s="17"/>
      <c r="D17" s="17"/>
      <c r="E17" s="17"/>
      <c r="F17" s="17"/>
      <c r="G17" s="126">
        <f t="shared" ref="G17" si="7">P17</f>
        <v>0</v>
      </c>
      <c r="H17" s="127">
        <f t="shared" ref="H17" si="8">Q17</f>
        <v>0</v>
      </c>
      <c r="I17" s="10"/>
      <c r="J17" s="10"/>
      <c r="K17" s="126">
        <f t="shared" ref="K17" si="9">N17*O17</f>
        <v>0</v>
      </c>
      <c r="L17" s="128">
        <f t="shared" ref="L17" si="10">K17*$S$9</f>
        <v>0</v>
      </c>
      <c r="M17" s="126">
        <f t="shared" ref="M17" si="11">K17+L17</f>
        <v>0</v>
      </c>
      <c r="N17" s="15">
        <v>0</v>
      </c>
      <c r="O17" s="129">
        <f t="shared" si="5"/>
        <v>0</v>
      </c>
      <c r="P17" s="15">
        <v>0</v>
      </c>
      <c r="Q17" s="130">
        <f t="shared" si="6"/>
        <v>0</v>
      </c>
    </row>
    <row r="18" spans="1:19">
      <c r="A18" s="11"/>
      <c r="B18" s="11"/>
      <c r="C18" s="11"/>
      <c r="D18" s="11"/>
      <c r="E18" s="11"/>
      <c r="F18" s="11"/>
      <c r="G18" s="11"/>
      <c r="H18" s="11"/>
      <c r="I18" s="11"/>
      <c r="J18" s="11"/>
      <c r="K18" s="11"/>
      <c r="L18" s="11"/>
      <c r="M18" s="9"/>
    </row>
    <row r="19" spans="1:19">
      <c r="A19" s="11"/>
      <c r="C19" s="11"/>
      <c r="D19" s="11"/>
      <c r="E19" s="11"/>
      <c r="F19" s="11"/>
      <c r="G19" s="11"/>
      <c r="H19" s="11"/>
      <c r="I19" s="11"/>
      <c r="J19" s="11"/>
      <c r="K19" s="12" t="s">
        <v>58</v>
      </c>
      <c r="L19" s="11"/>
      <c r="M19" s="11"/>
      <c r="N19" s="131">
        <f>SUM(M10:M18)</f>
        <v>49527.88461538461</v>
      </c>
    </row>
    <row r="22" spans="1:19">
      <c r="A22" s="132" t="s">
        <v>59</v>
      </c>
      <c r="N22" s="191" t="s">
        <v>34</v>
      </c>
      <c r="O22" s="192"/>
      <c r="P22" s="192"/>
      <c r="Q22" s="193"/>
    </row>
    <row r="23" spans="1:19" ht="26.5">
      <c r="A23" s="6" t="s">
        <v>60</v>
      </c>
      <c r="B23" s="182" t="s">
        <v>40</v>
      </c>
      <c r="C23" s="183"/>
      <c r="D23" s="183"/>
      <c r="E23" s="183"/>
      <c r="F23" s="184"/>
      <c r="G23" s="6" t="s">
        <v>41</v>
      </c>
      <c r="H23" s="6" t="s">
        <v>42</v>
      </c>
      <c r="I23" s="6" t="s">
        <v>43</v>
      </c>
      <c r="J23" s="6" t="s">
        <v>44</v>
      </c>
      <c r="K23" s="6" t="s">
        <v>45</v>
      </c>
      <c r="L23" s="6" t="s">
        <v>46</v>
      </c>
      <c r="M23" s="6" t="s">
        <v>47</v>
      </c>
      <c r="N23" s="21" t="s">
        <v>48</v>
      </c>
      <c r="O23" s="21" t="s">
        <v>49</v>
      </c>
      <c r="P23" s="21" t="s">
        <v>50</v>
      </c>
      <c r="Q23" s="21" t="s">
        <v>51</v>
      </c>
      <c r="R23" s="21" t="s">
        <v>52</v>
      </c>
      <c r="S23" s="134">
        <f>S9</f>
        <v>0</v>
      </c>
    </row>
    <row r="24" spans="1:19">
      <c r="A24" s="16"/>
      <c r="B24" s="185"/>
      <c r="C24" s="186"/>
      <c r="D24" s="186"/>
      <c r="E24" s="186"/>
      <c r="F24" s="186"/>
      <c r="G24" s="126">
        <f t="shared" ref="G24:G30" si="12">P24</f>
        <v>0</v>
      </c>
      <c r="H24" s="127">
        <f>Q24</f>
        <v>0</v>
      </c>
      <c r="I24" s="10"/>
      <c r="J24" s="10"/>
      <c r="K24" s="126">
        <f>N24*O24</f>
        <v>0</v>
      </c>
      <c r="L24" s="128">
        <f>K24*$S$9</f>
        <v>0</v>
      </c>
      <c r="M24" s="126">
        <f>K24+L24</f>
        <v>0</v>
      </c>
      <c r="N24" s="15">
        <v>0</v>
      </c>
      <c r="O24" s="129">
        <f>P24/2080</f>
        <v>0</v>
      </c>
      <c r="P24" s="15">
        <v>0</v>
      </c>
      <c r="Q24" s="130">
        <f>N24/173.33</f>
        <v>0</v>
      </c>
    </row>
    <row r="25" spans="1:19">
      <c r="A25" s="16"/>
      <c r="B25" s="185"/>
      <c r="C25" s="186"/>
      <c r="D25" s="186"/>
      <c r="E25" s="186"/>
      <c r="F25" s="186"/>
      <c r="G25" s="126">
        <f t="shared" si="12"/>
        <v>0</v>
      </c>
      <c r="H25" s="127">
        <f>Q25</f>
        <v>0</v>
      </c>
      <c r="I25" s="10"/>
      <c r="J25" s="10"/>
      <c r="K25" s="126">
        <f>N25*O25</f>
        <v>0</v>
      </c>
      <c r="L25" s="128">
        <f t="shared" ref="L25:L30" si="13">K25*$S$9</f>
        <v>0</v>
      </c>
      <c r="M25" s="126">
        <f>K25+L25</f>
        <v>0</v>
      </c>
      <c r="N25" s="15">
        <v>0</v>
      </c>
      <c r="O25" s="129">
        <f>P25/2080</f>
        <v>0</v>
      </c>
      <c r="P25" s="15">
        <v>0</v>
      </c>
      <c r="Q25" s="130">
        <f>N25/173.33</f>
        <v>0</v>
      </c>
      <c r="S25" s="73" t="s">
        <v>57</v>
      </c>
    </row>
    <row r="26" spans="1:19">
      <c r="A26" s="17"/>
      <c r="B26" s="185"/>
      <c r="C26" s="186"/>
      <c r="D26" s="186"/>
      <c r="E26" s="186"/>
      <c r="F26" s="186"/>
      <c r="G26" s="126">
        <f t="shared" si="12"/>
        <v>0</v>
      </c>
      <c r="H26" s="127">
        <f t="shared" ref="H26:H30" si="14">Q26</f>
        <v>0</v>
      </c>
      <c r="I26" s="10"/>
      <c r="J26" s="10"/>
      <c r="K26" s="126">
        <f t="shared" ref="K26:K30" si="15">N26*O26</f>
        <v>0</v>
      </c>
      <c r="L26" s="128">
        <f t="shared" si="13"/>
        <v>0</v>
      </c>
      <c r="M26" s="126">
        <f t="shared" ref="M26:M30" si="16">K26+L26</f>
        <v>0</v>
      </c>
      <c r="N26" s="15">
        <v>0</v>
      </c>
      <c r="O26" s="129">
        <f t="shared" ref="O26:O31" si="17">P26/2080</f>
        <v>0</v>
      </c>
      <c r="P26" s="15">
        <v>0</v>
      </c>
      <c r="Q26" s="130">
        <f t="shared" ref="Q26:Q31" si="18">N26/173.33</f>
        <v>0</v>
      </c>
    </row>
    <row r="27" spans="1:19">
      <c r="A27" s="17"/>
      <c r="B27" s="185"/>
      <c r="C27" s="187"/>
      <c r="D27" s="187"/>
      <c r="E27" s="187"/>
      <c r="F27" s="187"/>
      <c r="G27" s="126">
        <f t="shared" si="12"/>
        <v>0</v>
      </c>
      <c r="H27" s="127">
        <f t="shared" si="14"/>
        <v>0</v>
      </c>
      <c r="I27" s="10"/>
      <c r="J27" s="10"/>
      <c r="K27" s="126">
        <f t="shared" si="15"/>
        <v>0</v>
      </c>
      <c r="L27" s="128">
        <f t="shared" si="13"/>
        <v>0</v>
      </c>
      <c r="M27" s="126">
        <f t="shared" si="16"/>
        <v>0</v>
      </c>
      <c r="N27" s="15">
        <v>0</v>
      </c>
      <c r="O27" s="129">
        <f t="shared" si="17"/>
        <v>0</v>
      </c>
      <c r="P27" s="15">
        <v>0</v>
      </c>
      <c r="Q27" s="130">
        <f t="shared" si="18"/>
        <v>0</v>
      </c>
    </row>
    <row r="28" spans="1:19">
      <c r="A28" s="17"/>
      <c r="B28" s="185"/>
      <c r="C28" s="187"/>
      <c r="D28" s="187"/>
      <c r="E28" s="187"/>
      <c r="F28" s="187"/>
      <c r="G28" s="126">
        <f t="shared" si="12"/>
        <v>0</v>
      </c>
      <c r="H28" s="127">
        <f t="shared" si="14"/>
        <v>0</v>
      </c>
      <c r="I28" s="10"/>
      <c r="J28" s="10"/>
      <c r="K28" s="126">
        <f t="shared" si="15"/>
        <v>0</v>
      </c>
      <c r="L28" s="128">
        <f t="shared" si="13"/>
        <v>0</v>
      </c>
      <c r="M28" s="126">
        <f t="shared" si="16"/>
        <v>0</v>
      </c>
      <c r="N28" s="15">
        <v>0</v>
      </c>
      <c r="O28" s="129">
        <f t="shared" si="17"/>
        <v>0</v>
      </c>
      <c r="P28" s="15">
        <v>0</v>
      </c>
      <c r="Q28" s="130">
        <f t="shared" si="18"/>
        <v>0</v>
      </c>
    </row>
    <row r="29" spans="1:19">
      <c r="A29" s="17"/>
      <c r="B29" s="185"/>
      <c r="C29" s="187"/>
      <c r="D29" s="187"/>
      <c r="E29" s="187"/>
      <c r="F29" s="187"/>
      <c r="G29" s="126">
        <f t="shared" si="12"/>
        <v>0</v>
      </c>
      <c r="H29" s="127">
        <f t="shared" si="14"/>
        <v>0</v>
      </c>
      <c r="I29" s="10"/>
      <c r="J29" s="10"/>
      <c r="K29" s="126">
        <f t="shared" si="15"/>
        <v>0</v>
      </c>
      <c r="L29" s="128">
        <f t="shared" si="13"/>
        <v>0</v>
      </c>
      <c r="M29" s="126">
        <f t="shared" si="16"/>
        <v>0</v>
      </c>
      <c r="N29" s="15">
        <v>0</v>
      </c>
      <c r="O29" s="129">
        <f t="shared" si="17"/>
        <v>0</v>
      </c>
      <c r="P29" s="15">
        <v>0</v>
      </c>
      <c r="Q29" s="130">
        <f t="shared" si="18"/>
        <v>0</v>
      </c>
    </row>
    <row r="30" spans="1:19">
      <c r="A30" s="17"/>
      <c r="B30" s="185"/>
      <c r="C30" s="187"/>
      <c r="D30" s="187"/>
      <c r="E30" s="187"/>
      <c r="F30" s="187"/>
      <c r="G30" s="126">
        <f t="shared" si="12"/>
        <v>0</v>
      </c>
      <c r="H30" s="127">
        <f t="shared" si="14"/>
        <v>0</v>
      </c>
      <c r="I30" s="10"/>
      <c r="J30" s="10"/>
      <c r="K30" s="126">
        <f t="shared" si="15"/>
        <v>0</v>
      </c>
      <c r="L30" s="128">
        <f t="shared" si="13"/>
        <v>0</v>
      </c>
      <c r="M30" s="126">
        <f t="shared" si="16"/>
        <v>0</v>
      </c>
      <c r="N30" s="15">
        <v>0</v>
      </c>
      <c r="O30" s="129">
        <f t="shared" si="17"/>
        <v>0</v>
      </c>
      <c r="P30" s="15">
        <v>0</v>
      </c>
      <c r="Q30" s="130">
        <f t="shared" si="18"/>
        <v>0</v>
      </c>
    </row>
    <row r="31" spans="1:19">
      <c r="A31" s="17"/>
      <c r="B31" s="185"/>
      <c r="C31" s="187"/>
      <c r="D31" s="187"/>
      <c r="E31" s="187"/>
      <c r="F31" s="187"/>
      <c r="G31" s="126">
        <f t="shared" ref="G31" si="19">P31</f>
        <v>0</v>
      </c>
      <c r="H31" s="127">
        <f t="shared" ref="H31" si="20">Q31</f>
        <v>0</v>
      </c>
      <c r="I31" s="10"/>
      <c r="J31" s="10"/>
      <c r="K31" s="126">
        <f t="shared" ref="K31" si="21">N31*O31</f>
        <v>0</v>
      </c>
      <c r="L31" s="128">
        <f t="shared" ref="L31" si="22">K31*$S$9</f>
        <v>0</v>
      </c>
      <c r="M31" s="126">
        <f t="shared" ref="M31" si="23">K31+L31</f>
        <v>0</v>
      </c>
      <c r="N31" s="15">
        <v>0</v>
      </c>
      <c r="O31" s="129">
        <f t="shared" si="17"/>
        <v>0</v>
      </c>
      <c r="P31" s="15">
        <v>0</v>
      </c>
      <c r="Q31" s="130">
        <f t="shared" si="18"/>
        <v>0</v>
      </c>
    </row>
    <row r="32" spans="1:19">
      <c r="A32" s="11"/>
      <c r="B32" s="11"/>
      <c r="G32" s="11"/>
      <c r="H32" s="11"/>
      <c r="I32" s="11"/>
      <c r="J32" s="11"/>
      <c r="K32" s="11"/>
      <c r="L32" s="11"/>
      <c r="M32" s="9"/>
    </row>
    <row r="33" spans="1:14">
      <c r="A33" s="8">
        <f>SUM(A24:A31)</f>
        <v>0</v>
      </c>
      <c r="B33" s="12" t="s">
        <v>61</v>
      </c>
      <c r="G33" s="11"/>
      <c r="H33" s="11"/>
      <c r="I33" s="11"/>
      <c r="J33" s="11"/>
      <c r="K33" s="12" t="s">
        <v>62</v>
      </c>
      <c r="L33" s="11"/>
      <c r="M33" s="11"/>
      <c r="N33" s="131">
        <f>SUM(M24:M32)</f>
        <v>0</v>
      </c>
    </row>
    <row r="35" spans="1:14">
      <c r="M35" s="135" t="s">
        <v>63</v>
      </c>
      <c r="N35" s="145">
        <f>ROUND((N19+N33),6)</f>
        <v>49527.884615000003</v>
      </c>
    </row>
    <row r="37" spans="1:14">
      <c r="A37" s="12" t="s">
        <v>64</v>
      </c>
      <c r="B37" s="11"/>
      <c r="C37" s="11"/>
      <c r="D37" s="11"/>
      <c r="E37" s="11"/>
      <c r="F37" s="11"/>
      <c r="G37" s="11"/>
      <c r="H37" s="11"/>
      <c r="I37" s="11"/>
      <c r="J37" s="11"/>
      <c r="K37" s="11"/>
    </row>
    <row r="38" spans="1:14">
      <c r="A38" s="12"/>
      <c r="B38" s="11"/>
      <c r="C38" s="11"/>
      <c r="D38" s="11"/>
      <c r="E38" s="11"/>
      <c r="F38" s="11"/>
      <c r="G38" s="11"/>
      <c r="H38" s="11"/>
      <c r="I38" s="11"/>
      <c r="J38" s="11"/>
      <c r="K38" s="11"/>
      <c r="N38" s="136"/>
    </row>
    <row r="39" spans="1:14">
      <c r="A39" s="12"/>
      <c r="B39" s="12" t="s">
        <v>65</v>
      </c>
      <c r="C39" s="12"/>
      <c r="D39" s="12"/>
      <c r="E39" s="12"/>
      <c r="F39" s="12"/>
      <c r="G39" s="12"/>
      <c r="H39" s="12"/>
      <c r="I39" s="12"/>
      <c r="J39" s="12"/>
      <c r="K39" s="11"/>
    </row>
    <row r="40" spans="1:14">
      <c r="A40" s="12"/>
      <c r="B40" s="12" t="s">
        <v>66</v>
      </c>
      <c r="C40" s="12"/>
      <c r="D40" s="12"/>
      <c r="E40" s="12"/>
      <c r="F40" s="12"/>
      <c r="G40" s="12"/>
      <c r="H40" s="12"/>
      <c r="I40" s="12"/>
      <c r="J40" s="12"/>
      <c r="K40" s="11"/>
    </row>
    <row r="41" spans="1:14">
      <c r="A41" s="12"/>
      <c r="B41" s="12"/>
      <c r="C41" s="12"/>
      <c r="D41" s="12"/>
      <c r="E41" s="12"/>
      <c r="F41" s="12"/>
      <c r="G41" s="12"/>
      <c r="H41" s="12"/>
      <c r="I41" s="12"/>
      <c r="J41" s="12"/>
      <c r="K41" s="11"/>
    </row>
    <row r="42" spans="1:14" s="137" customFormat="1">
      <c r="A42" s="5"/>
      <c r="B42" s="5"/>
      <c r="C42" s="12" t="s">
        <v>67</v>
      </c>
      <c r="D42" s="5"/>
      <c r="E42" s="5"/>
      <c r="F42" s="5"/>
      <c r="G42" s="5"/>
      <c r="H42" s="5"/>
      <c r="I42" s="5"/>
      <c r="J42" s="12" t="s">
        <v>68</v>
      </c>
      <c r="K42" s="20"/>
    </row>
    <row r="43" spans="1:14">
      <c r="A43" s="11"/>
      <c r="B43" s="7">
        <v>1</v>
      </c>
      <c r="C43" s="179" t="s">
        <v>69</v>
      </c>
      <c r="D43" s="180"/>
      <c r="E43" s="180"/>
      <c r="F43" s="180"/>
      <c r="G43" s="180"/>
      <c r="H43" s="181"/>
      <c r="I43" s="11"/>
      <c r="J43" s="87"/>
      <c r="K43" s="11"/>
    </row>
    <row r="44" spans="1:14">
      <c r="A44" s="11"/>
      <c r="B44" s="7">
        <v>2</v>
      </c>
      <c r="C44" s="179"/>
      <c r="D44" s="180"/>
      <c r="E44" s="180"/>
      <c r="F44" s="180"/>
      <c r="G44" s="180"/>
      <c r="H44" s="181"/>
      <c r="I44" s="11"/>
      <c r="J44" s="87"/>
      <c r="K44" s="11"/>
    </row>
    <row r="45" spans="1:14">
      <c r="A45" s="11"/>
      <c r="B45" s="7">
        <v>3</v>
      </c>
      <c r="C45" s="179"/>
      <c r="D45" s="180"/>
      <c r="E45" s="180"/>
      <c r="F45" s="180"/>
      <c r="G45" s="180"/>
      <c r="H45" s="181"/>
      <c r="I45" s="11"/>
      <c r="J45" s="87"/>
      <c r="K45" s="11"/>
    </row>
    <row r="46" spans="1:14">
      <c r="A46" s="11"/>
      <c r="B46" s="7">
        <v>4</v>
      </c>
      <c r="C46" s="179"/>
      <c r="D46" s="180"/>
      <c r="E46" s="180"/>
      <c r="F46" s="180"/>
      <c r="G46" s="180"/>
      <c r="H46" s="181"/>
      <c r="I46" s="11"/>
      <c r="J46" s="87"/>
      <c r="K46" s="11"/>
    </row>
    <row r="47" spans="1:14">
      <c r="A47" s="11"/>
      <c r="B47" s="7">
        <v>5</v>
      </c>
      <c r="C47" s="179"/>
      <c r="D47" s="180"/>
      <c r="E47" s="180"/>
      <c r="F47" s="180"/>
      <c r="G47" s="180"/>
      <c r="H47" s="181"/>
      <c r="I47" s="11"/>
      <c r="J47" s="87"/>
      <c r="K47" s="11"/>
    </row>
    <row r="48" spans="1:14">
      <c r="A48" s="11"/>
      <c r="B48" s="7">
        <v>6</v>
      </c>
      <c r="C48" s="179"/>
      <c r="D48" s="180"/>
      <c r="E48" s="180"/>
      <c r="F48" s="180"/>
      <c r="G48" s="180"/>
      <c r="H48" s="181"/>
      <c r="I48" s="11"/>
      <c r="J48" s="87"/>
      <c r="K48" s="11"/>
    </row>
    <row r="49" spans="1:12">
      <c r="A49" s="11"/>
      <c r="B49" s="7">
        <v>7</v>
      </c>
      <c r="C49" s="179"/>
      <c r="D49" s="180"/>
      <c r="E49" s="180"/>
      <c r="F49" s="180"/>
      <c r="G49" s="180"/>
      <c r="H49" s="181"/>
      <c r="I49" s="11"/>
      <c r="J49" s="87"/>
      <c r="K49" s="11"/>
    </row>
    <row r="50" spans="1:12">
      <c r="A50" s="11"/>
      <c r="B50" s="7">
        <v>8</v>
      </c>
      <c r="C50" s="179"/>
      <c r="D50" s="180"/>
      <c r="E50" s="180"/>
      <c r="F50" s="180"/>
      <c r="G50" s="180"/>
      <c r="H50" s="181"/>
      <c r="I50" s="11"/>
      <c r="J50" s="87"/>
      <c r="K50" s="11"/>
    </row>
    <row r="51" spans="1:12">
      <c r="A51" s="11"/>
      <c r="B51" s="7">
        <v>9</v>
      </c>
      <c r="C51" s="179"/>
      <c r="D51" s="180"/>
      <c r="E51" s="180"/>
      <c r="F51" s="180"/>
      <c r="G51" s="180"/>
      <c r="H51" s="181"/>
      <c r="I51" s="11"/>
      <c r="J51" s="87"/>
      <c r="K51" s="11"/>
    </row>
    <row r="52" spans="1:12">
      <c r="A52" s="11"/>
      <c r="B52" s="7">
        <v>10</v>
      </c>
      <c r="C52" s="179"/>
      <c r="D52" s="180"/>
      <c r="E52" s="180"/>
      <c r="F52" s="180"/>
      <c r="G52" s="180"/>
      <c r="H52" s="181"/>
      <c r="I52" s="11"/>
      <c r="J52" s="87"/>
      <c r="K52" s="11"/>
    </row>
    <row r="53" spans="1:12">
      <c r="A53" s="11"/>
      <c r="B53" s="7"/>
      <c r="C53" s="11"/>
      <c r="D53" s="11"/>
      <c r="E53" s="11"/>
      <c r="F53" s="11"/>
      <c r="G53" s="11"/>
      <c r="H53" s="11"/>
      <c r="I53" s="11"/>
      <c r="J53" s="88"/>
      <c r="K53" s="11"/>
    </row>
    <row r="54" spans="1:12">
      <c r="A54" s="11"/>
      <c r="B54" s="11"/>
      <c r="C54" s="11"/>
      <c r="D54" s="11"/>
      <c r="E54" s="11"/>
      <c r="F54" s="11"/>
      <c r="G54" s="18" t="s">
        <v>70</v>
      </c>
      <c r="H54" s="11"/>
      <c r="I54" s="11"/>
      <c r="J54" s="131">
        <f>SUM(J43:J53)</f>
        <v>0</v>
      </c>
      <c r="K54" s="11"/>
    </row>
    <row r="55" spans="1:12">
      <c r="A55" s="11"/>
      <c r="B55" s="11"/>
      <c r="C55" s="11"/>
      <c r="D55" s="11"/>
      <c r="E55" s="11"/>
      <c r="F55" s="11"/>
      <c r="G55" s="11"/>
      <c r="H55" s="11"/>
      <c r="I55" s="11"/>
      <c r="J55" s="11"/>
      <c r="K55" s="11"/>
    </row>
    <row r="56" spans="1:12">
      <c r="A56" s="11"/>
      <c r="B56" s="11"/>
      <c r="C56" s="11"/>
      <c r="D56" s="11"/>
      <c r="E56" s="11"/>
      <c r="F56" s="11"/>
      <c r="G56" s="11"/>
      <c r="H56" s="11"/>
      <c r="I56" s="11"/>
      <c r="J56" s="11"/>
      <c r="K56" s="11"/>
    </row>
    <row r="57" spans="1:12">
      <c r="A57" s="12"/>
      <c r="B57" s="12" t="s">
        <v>71</v>
      </c>
      <c r="C57" s="12"/>
      <c r="D57" s="12"/>
      <c r="E57" s="12"/>
      <c r="F57" s="12"/>
      <c r="G57" s="12"/>
      <c r="H57" s="12"/>
      <c r="I57" s="12"/>
      <c r="J57" s="12" t="s">
        <v>72</v>
      </c>
      <c r="K57" s="11"/>
    </row>
    <row r="58" spans="1:12">
      <c r="A58" s="12"/>
      <c r="B58" s="12">
        <v>1</v>
      </c>
      <c r="C58" s="12" t="s">
        <v>73</v>
      </c>
      <c r="D58" s="12"/>
      <c r="E58" s="12"/>
      <c r="F58" s="12"/>
      <c r="G58" s="12"/>
      <c r="H58" s="12"/>
      <c r="I58" s="12"/>
      <c r="J58" s="89">
        <f>'Travel BOE'!L11</f>
        <v>4822</v>
      </c>
      <c r="K58" s="11" t="s">
        <v>74</v>
      </c>
      <c r="L58" s="73" t="s">
        <v>75</v>
      </c>
    </row>
    <row r="59" spans="1:12">
      <c r="A59" s="12"/>
      <c r="B59" s="12">
        <v>2</v>
      </c>
      <c r="C59" s="12" t="s">
        <v>76</v>
      </c>
      <c r="D59" s="12"/>
      <c r="E59" s="12"/>
      <c r="F59" s="12"/>
      <c r="G59" s="12"/>
      <c r="H59" s="12"/>
      <c r="I59" s="12"/>
      <c r="J59" s="22"/>
      <c r="K59" s="11"/>
    </row>
    <row r="60" spans="1:12">
      <c r="A60" s="12"/>
      <c r="B60" s="12"/>
      <c r="C60" s="12"/>
      <c r="D60" s="12"/>
      <c r="E60" s="12"/>
      <c r="F60" s="12"/>
      <c r="G60" s="12"/>
      <c r="H60" s="12" t="s">
        <v>77</v>
      </c>
      <c r="I60" s="12"/>
      <c r="J60" s="131">
        <f>SUM(J58:J59)</f>
        <v>4822</v>
      </c>
      <c r="K60" s="11"/>
    </row>
    <row r="61" spans="1:12">
      <c r="A61" s="11"/>
      <c r="B61" s="11"/>
      <c r="C61" s="11"/>
      <c r="D61" s="11"/>
      <c r="E61" s="11"/>
      <c r="F61" s="11"/>
      <c r="G61" s="11"/>
      <c r="H61" s="11"/>
      <c r="I61" s="11"/>
      <c r="J61" s="19"/>
      <c r="K61" s="11"/>
    </row>
    <row r="62" spans="1:12">
      <c r="A62" s="11"/>
      <c r="B62" s="11"/>
      <c r="C62" s="11"/>
      <c r="D62" s="11"/>
      <c r="E62" s="11"/>
      <c r="F62" s="11"/>
      <c r="G62" s="11"/>
      <c r="H62" s="11"/>
      <c r="I62" s="11"/>
      <c r="J62" s="19"/>
      <c r="K62" s="11"/>
    </row>
    <row r="63" spans="1:12">
      <c r="A63" s="12"/>
      <c r="B63" s="78" t="s">
        <v>78</v>
      </c>
      <c r="C63" s="78"/>
      <c r="D63" s="78"/>
      <c r="E63" s="78"/>
      <c r="F63" s="78"/>
      <c r="G63" s="78"/>
      <c r="H63" s="78"/>
      <c r="I63" s="78"/>
      <c r="J63" s="79" t="s">
        <v>72</v>
      </c>
      <c r="K63" s="11"/>
    </row>
    <row r="64" spans="1:12">
      <c r="A64" s="11"/>
      <c r="B64" s="80" t="s">
        <v>79</v>
      </c>
      <c r="C64" s="81"/>
      <c r="D64" s="81"/>
      <c r="E64" s="81"/>
      <c r="F64" s="81"/>
      <c r="G64" s="81"/>
      <c r="H64" s="82"/>
      <c r="I64" s="83"/>
      <c r="J64" s="84"/>
    </row>
    <row r="65" spans="1:11">
      <c r="A65" s="11"/>
      <c r="B65" s="80" t="s">
        <v>80</v>
      </c>
      <c r="C65" s="81"/>
      <c r="D65" s="81"/>
      <c r="E65" s="81"/>
      <c r="F65" s="81"/>
      <c r="G65" s="81"/>
      <c r="H65" s="82"/>
      <c r="I65" s="83"/>
      <c r="J65" s="84"/>
    </row>
    <row r="66" spans="1:11">
      <c r="A66" s="11"/>
      <c r="B66" s="80" t="s">
        <v>22</v>
      </c>
      <c r="C66" s="81"/>
      <c r="D66" s="81"/>
      <c r="E66" s="81"/>
      <c r="F66" s="81"/>
      <c r="G66" s="81"/>
      <c r="H66" s="82"/>
      <c r="I66" s="83"/>
      <c r="J66" s="84"/>
    </row>
    <row r="67" spans="1:11">
      <c r="A67" s="11"/>
      <c r="B67" s="80" t="s">
        <v>81</v>
      </c>
      <c r="C67" s="81"/>
      <c r="D67" s="81"/>
      <c r="E67" s="81"/>
      <c r="F67" s="81"/>
      <c r="G67" s="81"/>
      <c r="H67" s="82"/>
      <c r="I67" s="83"/>
      <c r="J67" s="84"/>
    </row>
    <row r="68" spans="1:11">
      <c r="A68" s="11"/>
      <c r="B68" s="80" t="s">
        <v>27</v>
      </c>
      <c r="C68" s="81"/>
      <c r="D68" s="81"/>
      <c r="E68" s="81"/>
      <c r="F68" s="81"/>
      <c r="G68" s="81"/>
      <c r="H68" s="82"/>
      <c r="I68" s="83"/>
      <c r="J68" s="84"/>
    </row>
    <row r="69" spans="1:11">
      <c r="A69" s="11"/>
      <c r="B69" s="85"/>
      <c r="C69" s="78" t="s">
        <v>82</v>
      </c>
      <c r="D69" s="84"/>
      <c r="E69" s="84"/>
      <c r="F69" s="84"/>
      <c r="G69" s="78" t="s">
        <v>83</v>
      </c>
      <c r="H69" s="84"/>
      <c r="I69" s="84"/>
      <c r="J69" s="86">
        <f>SUM(I64:I68)</f>
        <v>0</v>
      </c>
      <c r="K69" s="11"/>
    </row>
    <row r="72" spans="1:11">
      <c r="A72" s="12" t="s">
        <v>84</v>
      </c>
      <c r="B72" s="11"/>
      <c r="C72" s="11"/>
      <c r="D72" s="11"/>
      <c r="E72" s="11"/>
      <c r="F72" s="11"/>
      <c r="G72" s="11"/>
      <c r="H72" s="11"/>
      <c r="I72" s="11"/>
    </row>
    <row r="73" spans="1:11">
      <c r="A73" s="11"/>
      <c r="B73" s="11"/>
      <c r="C73" s="11"/>
      <c r="D73" s="11"/>
      <c r="E73" s="11"/>
      <c r="F73" s="11"/>
      <c r="G73" s="11"/>
      <c r="H73" s="11"/>
      <c r="I73" s="11"/>
    </row>
    <row r="74" spans="1:11">
      <c r="A74" s="12"/>
      <c r="B74" s="12" t="s">
        <v>85</v>
      </c>
      <c r="C74" s="12"/>
      <c r="D74" s="12"/>
      <c r="E74" s="12"/>
      <c r="F74" s="12"/>
      <c r="G74" s="12"/>
      <c r="H74" s="12" t="s">
        <v>68</v>
      </c>
    </row>
    <row r="75" spans="1:11">
      <c r="A75" s="11">
        <v>1</v>
      </c>
      <c r="B75" s="188" t="s">
        <v>86</v>
      </c>
      <c r="C75" s="189"/>
      <c r="D75" s="189"/>
      <c r="E75" s="189"/>
      <c r="F75" s="189"/>
      <c r="G75" s="190"/>
      <c r="H75" s="87">
        <f>'Material BOE'!D18</f>
        <v>21713.3</v>
      </c>
      <c r="I75" s="14" t="s">
        <v>87</v>
      </c>
      <c r="J75" s="73" t="s">
        <v>88</v>
      </c>
    </row>
    <row r="76" spans="1:11">
      <c r="A76" s="11">
        <v>2</v>
      </c>
      <c r="B76" s="188" t="s">
        <v>89</v>
      </c>
      <c r="C76" s="189"/>
      <c r="D76" s="189"/>
      <c r="E76" s="189"/>
      <c r="F76" s="189"/>
      <c r="G76" s="190"/>
      <c r="H76" s="87">
        <v>0</v>
      </c>
    </row>
    <row r="77" spans="1:11">
      <c r="A77" s="11">
        <v>3</v>
      </c>
      <c r="B77" s="188" t="s">
        <v>90</v>
      </c>
      <c r="C77" s="189"/>
      <c r="D77" s="189"/>
      <c r="E77" s="189"/>
      <c r="F77" s="189"/>
      <c r="G77" s="190"/>
      <c r="H77" s="87">
        <v>5000</v>
      </c>
    </row>
    <row r="78" spans="1:11">
      <c r="A78" s="11">
        <v>4</v>
      </c>
      <c r="B78" s="188" t="s">
        <v>91</v>
      </c>
      <c r="C78" s="189"/>
      <c r="D78" s="189"/>
      <c r="E78" s="189"/>
      <c r="F78" s="189"/>
      <c r="G78" s="190"/>
      <c r="H78" s="87">
        <v>0</v>
      </c>
      <c r="I78" s="138"/>
    </row>
    <row r="79" spans="1:11">
      <c r="A79" s="178" t="s">
        <v>267</v>
      </c>
      <c r="B79" s="188" t="s">
        <v>269</v>
      </c>
      <c r="C79" s="189"/>
      <c r="D79" s="189"/>
      <c r="E79" s="189"/>
      <c r="F79" s="189"/>
      <c r="G79" s="190"/>
      <c r="H79" s="87">
        <v>50000</v>
      </c>
      <c r="I79" s="14" t="s">
        <v>87</v>
      </c>
      <c r="J79" s="73" t="s">
        <v>92</v>
      </c>
    </row>
    <row r="80" spans="1:11">
      <c r="A80" s="178" t="s">
        <v>268</v>
      </c>
      <c r="B80" s="123" t="s">
        <v>270</v>
      </c>
      <c r="C80" s="124"/>
      <c r="D80" s="124"/>
      <c r="E80" s="124"/>
      <c r="F80" s="124"/>
      <c r="G80" s="125"/>
      <c r="H80" s="87">
        <v>5000</v>
      </c>
      <c r="J80" s="141">
        <f>H79+H80</f>
        <v>55000</v>
      </c>
      <c r="K80" s="14" t="s">
        <v>272</v>
      </c>
    </row>
    <row r="81" spans="1:11">
      <c r="A81" s="11">
        <v>6</v>
      </c>
      <c r="B81" s="188" t="s">
        <v>93</v>
      </c>
      <c r="C81" s="189"/>
      <c r="D81" s="189"/>
      <c r="E81" s="189"/>
      <c r="F81" s="189"/>
      <c r="G81" s="190"/>
      <c r="H81" s="87">
        <v>0</v>
      </c>
    </row>
    <row r="82" spans="1:11">
      <c r="A82" s="11">
        <v>7</v>
      </c>
      <c r="B82" s="188" t="s">
        <v>94</v>
      </c>
      <c r="C82" s="189"/>
      <c r="D82" s="189"/>
      <c r="E82" s="189"/>
      <c r="F82" s="189"/>
      <c r="G82" s="190"/>
      <c r="H82" s="87">
        <v>0</v>
      </c>
    </row>
    <row r="83" spans="1:11">
      <c r="A83" s="11">
        <v>3</v>
      </c>
      <c r="B83" s="188" t="s">
        <v>95</v>
      </c>
      <c r="C83" s="189"/>
      <c r="D83" s="189"/>
      <c r="E83" s="189"/>
      <c r="F83" s="189"/>
      <c r="G83" s="190"/>
      <c r="H83" s="87">
        <v>6500</v>
      </c>
    </row>
    <row r="84" spans="1:11">
      <c r="A84" s="11">
        <v>9</v>
      </c>
      <c r="B84" s="188" t="s">
        <v>96</v>
      </c>
      <c r="C84" s="189"/>
      <c r="D84" s="189"/>
      <c r="E84" s="189"/>
      <c r="F84" s="189"/>
      <c r="G84" s="190"/>
      <c r="H84" s="87">
        <v>0</v>
      </c>
    </row>
    <row r="85" spans="1:11">
      <c r="A85" s="11">
        <v>10</v>
      </c>
      <c r="B85" s="188"/>
      <c r="C85" s="189"/>
      <c r="D85" s="189"/>
      <c r="E85" s="189"/>
      <c r="F85" s="189"/>
      <c r="G85" s="190"/>
      <c r="H85" s="87">
        <v>0</v>
      </c>
    </row>
    <row r="86" spans="1:11">
      <c r="A86" s="11"/>
      <c r="B86" s="11"/>
      <c r="C86" s="11"/>
      <c r="D86" s="11"/>
      <c r="E86" s="11"/>
      <c r="F86" s="12" t="s">
        <v>97</v>
      </c>
      <c r="G86" s="11"/>
      <c r="H86" s="11"/>
      <c r="I86" s="131">
        <f>SUM(H75:H85)</f>
        <v>88213.3</v>
      </c>
    </row>
    <row r="87" spans="1:11">
      <c r="A87" s="11"/>
      <c r="B87" s="11"/>
      <c r="C87" s="11"/>
      <c r="D87" s="11"/>
      <c r="E87" s="11"/>
      <c r="F87" s="11"/>
      <c r="G87" s="11"/>
      <c r="H87" s="11"/>
      <c r="I87" s="11"/>
    </row>
    <row r="88" spans="1:11">
      <c r="A88" s="11"/>
      <c r="B88" s="11"/>
      <c r="C88" s="11"/>
      <c r="D88" s="11"/>
      <c r="E88" s="11"/>
      <c r="F88" s="11"/>
      <c r="G88" s="11"/>
      <c r="H88" s="11"/>
      <c r="I88" s="11"/>
    </row>
    <row r="89" spans="1:11">
      <c r="A89" s="11"/>
      <c r="B89" s="11"/>
      <c r="C89" s="11"/>
      <c r="D89" s="11"/>
      <c r="E89" s="11"/>
      <c r="F89" s="11"/>
      <c r="G89" s="11"/>
      <c r="H89" s="11"/>
      <c r="I89" s="11"/>
    </row>
    <row r="90" spans="1:11">
      <c r="A90" s="12"/>
      <c r="B90" s="12" t="s">
        <v>98</v>
      </c>
      <c r="C90" s="11"/>
      <c r="D90" s="12"/>
      <c r="E90" s="12"/>
      <c r="F90" s="12"/>
      <c r="G90" s="12"/>
      <c r="H90" s="12"/>
      <c r="I90" s="12" t="s">
        <v>68</v>
      </c>
    </row>
    <row r="91" spans="1:11">
      <c r="A91" s="12"/>
      <c r="B91" s="12"/>
      <c r="C91" s="12"/>
      <c r="D91" s="12"/>
      <c r="E91" s="12"/>
      <c r="F91" s="12" t="s">
        <v>99</v>
      </c>
      <c r="G91" s="12"/>
      <c r="H91" s="12"/>
      <c r="I91" s="131">
        <f>N35+J54+J60+J69+I86</f>
        <v>142563.18461500001</v>
      </c>
      <c r="J91" s="139"/>
      <c r="K91" s="139"/>
    </row>
    <row r="93" spans="1:11">
      <c r="A93" s="12"/>
      <c r="B93" s="12" t="s">
        <v>100</v>
      </c>
      <c r="C93" s="12"/>
      <c r="D93" s="12"/>
      <c r="E93" s="12"/>
      <c r="F93" s="12"/>
      <c r="G93" s="12"/>
      <c r="H93" s="12"/>
      <c r="I93" s="12"/>
      <c r="J93" s="12"/>
    </row>
    <row r="94" spans="1:11">
      <c r="A94" s="12"/>
      <c r="B94" s="23"/>
      <c r="C94" s="194" t="s">
        <v>101</v>
      </c>
      <c r="D94" s="194"/>
      <c r="E94" s="194"/>
      <c r="F94" s="5" t="s">
        <v>102</v>
      </c>
      <c r="G94" s="194" t="s">
        <v>103</v>
      </c>
      <c r="H94" s="194"/>
      <c r="I94" s="12" t="s">
        <v>72</v>
      </c>
      <c r="J94" s="12"/>
    </row>
    <row r="95" spans="1:11">
      <c r="A95" s="11"/>
      <c r="B95" s="7">
        <v>1</v>
      </c>
      <c r="C95" s="179" t="s">
        <v>104</v>
      </c>
      <c r="D95" s="180"/>
      <c r="E95" s="181"/>
      <c r="F95" s="121">
        <v>0.312</v>
      </c>
      <c r="G95" s="195">
        <f>I91-H83</f>
        <v>136063.18461500001</v>
      </c>
      <c r="H95" s="196"/>
      <c r="I95" s="88">
        <f>G95*F95</f>
        <v>42451.71359988</v>
      </c>
      <c r="J95" s="11"/>
    </row>
    <row r="96" spans="1:11">
      <c r="A96" s="11"/>
      <c r="B96" s="7">
        <v>2</v>
      </c>
      <c r="C96" s="188"/>
      <c r="D96" s="189"/>
      <c r="E96" s="190"/>
      <c r="F96" s="8"/>
      <c r="G96" s="188"/>
      <c r="H96" s="190"/>
      <c r="I96" s="8"/>
      <c r="J96" s="11"/>
    </row>
    <row r="97" spans="1:10">
      <c r="A97" s="11"/>
      <c r="B97" s="7">
        <v>3</v>
      </c>
      <c r="C97" s="188"/>
      <c r="D97" s="189"/>
      <c r="E97" s="190"/>
      <c r="F97" s="8"/>
      <c r="G97" s="188"/>
      <c r="H97" s="190"/>
      <c r="I97" s="8"/>
      <c r="J97" s="11"/>
    </row>
    <row r="98" spans="1:10">
      <c r="A98" s="11"/>
      <c r="B98" s="7">
        <v>4</v>
      </c>
      <c r="C98" s="188"/>
      <c r="D98" s="189"/>
      <c r="E98" s="190"/>
      <c r="F98" s="8"/>
      <c r="G98" s="188"/>
      <c r="H98" s="190"/>
      <c r="I98" s="8"/>
      <c r="J98" s="11"/>
    </row>
    <row r="99" spans="1:10">
      <c r="A99" s="11"/>
      <c r="B99" s="11"/>
      <c r="C99" s="11"/>
      <c r="D99" s="11"/>
      <c r="E99" s="11"/>
      <c r="F99" s="11"/>
      <c r="G99" s="12" t="s">
        <v>105</v>
      </c>
      <c r="H99" s="11"/>
      <c r="I99" s="131">
        <f>SUM(I95:I98)</f>
        <v>42451.71359988</v>
      </c>
      <c r="J99" s="11"/>
    </row>
    <row r="100" spans="1:10">
      <c r="A100" s="11"/>
      <c r="B100" s="11"/>
      <c r="C100" s="11"/>
      <c r="D100" s="11"/>
      <c r="E100" s="11"/>
      <c r="F100" s="11"/>
      <c r="G100" s="11"/>
      <c r="H100" s="11"/>
      <c r="I100" s="11"/>
      <c r="J100" s="11"/>
    </row>
    <row r="101" spans="1:10">
      <c r="A101" s="11"/>
      <c r="B101" s="11"/>
      <c r="C101" s="11"/>
      <c r="D101" s="11"/>
      <c r="E101" s="11"/>
      <c r="F101" s="11"/>
      <c r="G101" s="11"/>
      <c r="H101" s="11"/>
      <c r="I101" s="11"/>
      <c r="J101" s="11"/>
    </row>
    <row r="102" spans="1:10">
      <c r="A102" s="12"/>
      <c r="B102" s="12" t="s">
        <v>106</v>
      </c>
      <c r="C102" s="12"/>
      <c r="D102" s="12"/>
      <c r="E102" s="12"/>
      <c r="F102" s="12"/>
      <c r="G102" s="12"/>
      <c r="H102" s="12"/>
      <c r="I102" s="12" t="s">
        <v>72</v>
      </c>
      <c r="J102" s="12"/>
    </row>
    <row r="103" spans="1:10">
      <c r="A103" s="12"/>
      <c r="B103" s="12"/>
      <c r="C103" s="12" t="s">
        <v>107</v>
      </c>
      <c r="D103" s="12"/>
      <c r="E103" s="12"/>
      <c r="F103" s="12"/>
      <c r="G103" s="12"/>
      <c r="H103" s="12"/>
      <c r="I103" s="131">
        <f>I91+I99</f>
        <v>185014.89821488</v>
      </c>
      <c r="J103" s="12"/>
    </row>
    <row r="104" spans="1:10">
      <c r="A104" s="11"/>
      <c r="B104" s="11"/>
      <c r="C104" s="11"/>
      <c r="D104" s="11"/>
      <c r="E104" s="11"/>
      <c r="F104" s="11"/>
      <c r="G104" s="11"/>
      <c r="H104" s="11"/>
      <c r="I104" s="11"/>
      <c r="J104" s="11"/>
    </row>
    <row r="105" spans="1:10">
      <c r="A105" s="11"/>
      <c r="B105" s="11"/>
      <c r="C105" s="11"/>
      <c r="D105" s="11"/>
      <c r="E105" s="11"/>
      <c r="F105" s="11"/>
      <c r="G105" s="11"/>
      <c r="H105" s="11"/>
      <c r="I105" s="12" t="s">
        <v>72</v>
      </c>
      <c r="J105" s="11"/>
    </row>
    <row r="106" spans="1:10">
      <c r="A106" s="12"/>
      <c r="B106" s="12" t="s">
        <v>108</v>
      </c>
      <c r="C106" s="24">
        <v>7.0000000000000007E-2</v>
      </c>
      <c r="D106" s="12"/>
      <c r="E106" s="12"/>
      <c r="F106" s="12" t="s">
        <v>109</v>
      </c>
      <c r="G106" s="12"/>
      <c r="H106" s="12"/>
      <c r="I106" s="131">
        <f>(I103-H83)*C106</f>
        <v>12496.042875041601</v>
      </c>
      <c r="J106" s="12"/>
    </row>
    <row r="107" spans="1:10">
      <c r="A107" s="11"/>
      <c r="B107" s="11"/>
      <c r="C107" s="11"/>
      <c r="D107" s="11"/>
      <c r="E107" s="11"/>
      <c r="F107" s="11"/>
      <c r="G107" s="11"/>
      <c r="H107" s="11"/>
      <c r="J107" s="11"/>
    </row>
    <row r="109" spans="1:10">
      <c r="H109" s="140">
        <f>'Read me first'!B12</f>
        <v>200000</v>
      </c>
      <c r="I109" s="141">
        <f>I103+I106</f>
        <v>197510.9410899216</v>
      </c>
      <c r="J109" s="14" t="s">
        <v>3</v>
      </c>
    </row>
    <row r="110" spans="1:10">
      <c r="H110" s="139">
        <f>H109*0.07</f>
        <v>14000.000000000002</v>
      </c>
      <c r="I110" s="142" t="s">
        <v>110</v>
      </c>
    </row>
    <row r="112" spans="1:10">
      <c r="B112" s="132" t="s">
        <v>111</v>
      </c>
    </row>
    <row r="113" spans="2:3">
      <c r="B113" s="14" t="s">
        <v>112</v>
      </c>
    </row>
    <row r="114" spans="2:3">
      <c r="B114" s="135" t="s">
        <v>113</v>
      </c>
      <c r="C114" s="143">
        <f>SUM(L10:L17)+SUM(L24:L31)</f>
        <v>0</v>
      </c>
    </row>
    <row r="115" spans="2:3">
      <c r="B115" s="135" t="s">
        <v>9</v>
      </c>
      <c r="C115" s="141">
        <f>I95</f>
        <v>42451.71359988</v>
      </c>
    </row>
    <row r="116" spans="2:3">
      <c r="B116" s="135" t="s">
        <v>114</v>
      </c>
      <c r="C116" s="141">
        <f>SUM(K10:K17)+SUM(K24:K31)</f>
        <v>49527.88461538461</v>
      </c>
    </row>
    <row r="117" spans="2:3">
      <c r="B117" s="135" t="s">
        <v>115</v>
      </c>
      <c r="C117" s="144">
        <f>(C114+C115)/C116</f>
        <v>0.8571275339042731</v>
      </c>
    </row>
  </sheetData>
  <sheetProtection algorithmName="SHA-512" hashValue="VlulHwnlbbZct7Wn1Z9OBUoN3gVWTAZHQWSsf8WoVIUZdLrjEpWNWoUZHNZjrYsiHzFMSPVBG/x/B+JFNHev2w==" saltValue="1fzWXEhgOM+WTVnZyNS5YA==" spinCount="100000" sheet="1" selectLockedCells="1"/>
  <mergeCells count="41">
    <mergeCell ref="C97:E97"/>
    <mergeCell ref="G97:H97"/>
    <mergeCell ref="C98:E98"/>
    <mergeCell ref="G98:H98"/>
    <mergeCell ref="B85:G85"/>
    <mergeCell ref="C94:E94"/>
    <mergeCell ref="G94:H94"/>
    <mergeCell ref="C95:E95"/>
    <mergeCell ref="G95:H95"/>
    <mergeCell ref="C96:E96"/>
    <mergeCell ref="G96:H96"/>
    <mergeCell ref="B78:G78"/>
    <mergeCell ref="B79:G79"/>
    <mergeCell ref="B81:G81"/>
    <mergeCell ref="B82:G82"/>
    <mergeCell ref="B83:G83"/>
    <mergeCell ref="B84:G84"/>
    <mergeCell ref="C52:H52"/>
    <mergeCell ref="N8:Q8"/>
    <mergeCell ref="N22:Q22"/>
    <mergeCell ref="B75:G75"/>
    <mergeCell ref="B76:G76"/>
    <mergeCell ref="B77:G77"/>
    <mergeCell ref="C46:H46"/>
    <mergeCell ref="C47:H47"/>
    <mergeCell ref="C48:H48"/>
    <mergeCell ref="C49:H49"/>
    <mergeCell ref="C50:H50"/>
    <mergeCell ref="C51:H51"/>
    <mergeCell ref="B29:F29"/>
    <mergeCell ref="B30:F30"/>
    <mergeCell ref="B31:F31"/>
    <mergeCell ref="C43:H43"/>
    <mergeCell ref="C44:H44"/>
    <mergeCell ref="C45:H45"/>
    <mergeCell ref="B23:F23"/>
    <mergeCell ref="B24:F24"/>
    <mergeCell ref="B25:F25"/>
    <mergeCell ref="B26:F26"/>
    <mergeCell ref="B27:F27"/>
    <mergeCell ref="B28:F28"/>
  </mergeCells>
  <hyperlinks>
    <hyperlink ref="S11" location="'Labor BOE'!A1" display="See Labor BOE tab for labor rates" xr:uid="{00000000-0004-0000-0100-000000000000}"/>
    <hyperlink ref="S25" location="'Labor BOE'!A1" display="See Labor BOE tab for labor rates" xr:uid="{00000000-0004-0000-0100-000001000000}"/>
    <hyperlink ref="J79" location="SubBudget!A1" display="See SubBudget tab for budget limitations" xr:uid="{00000000-0004-0000-0100-000002000000}"/>
    <hyperlink ref="L58" location="'Travel BOE'!A1" display="Linked to Travel BOE tab calculator" xr:uid="{00000000-0004-0000-0100-000003000000}"/>
    <hyperlink ref="J75" location="'Material BOE'!A1" display="Linked to Material BOE tab" xr:uid="{00000000-0004-0000-0100-000004000000}"/>
    <hyperlink ref="I110" location="'LOE worksheet'!A1" display="Check Budget against New LOE Worksheet" xr:uid="{00000000-0004-0000-0100-000005000000}"/>
  </hyperlinks>
  <pageMargins left="0.7" right="0.7" top="0.75" bottom="0.75" header="0.3" footer="0.3"/>
  <pageSetup orientation="portrait" r:id="rId1"/>
  <ignoredErrors>
    <ignoredError sqref="G11 Q10:Q17 H11:L16 J69 H10:J10"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
  <sheetViews>
    <sheetView zoomScale="120" zoomScaleNormal="120" workbookViewId="0">
      <selection activeCell="E12" sqref="E12"/>
    </sheetView>
  </sheetViews>
  <sheetFormatPr defaultColWidth="8.7265625" defaultRowHeight="12.5"/>
  <cols>
    <col min="1" max="1" width="56.26953125" style="56" customWidth="1"/>
    <col min="2" max="2" width="12.453125" style="56" customWidth="1"/>
    <col min="3" max="16384" width="8.7265625" style="56"/>
  </cols>
  <sheetData>
    <row r="1" spans="1:3" ht="13">
      <c r="A1" s="55"/>
      <c r="B1" s="55"/>
    </row>
    <row r="2" spans="1:3" ht="14.5">
      <c r="A2" s="57" t="s">
        <v>116</v>
      </c>
      <c r="B2" s="58"/>
    </row>
    <row r="3" spans="1:3" ht="14.5">
      <c r="A3" s="59" t="s">
        <v>117</v>
      </c>
      <c r="B3" s="60">
        <f>'SF-424_RR-Budget-(RAversion)'!I109</f>
        <v>197510.9410899216</v>
      </c>
    </row>
    <row r="4" spans="1:3" ht="29.5" thickBot="1">
      <c r="A4" s="61" t="s">
        <v>118</v>
      </c>
      <c r="B4" s="62">
        <f>'SF-424_RR-Budget-(RAversion)'!H77+'SF-424_RR-Budget-(RAversion)'!H79+'SF-424_RR-Budget-(RAversion)'!H83+'SF-424_RR-Budget-(RAversion)'!H84+'SF-424_RR-Budget-(RAversion)'!H85+'SF-424_RR-Budget-(RAversion)'!H80</f>
        <v>66500</v>
      </c>
    </row>
    <row r="5" spans="1:3" ht="14.5">
      <c r="A5" s="63" t="s">
        <v>119</v>
      </c>
      <c r="B5" s="197">
        <f>(B3-B4)/B3</f>
        <v>0.66330979117898958</v>
      </c>
    </row>
    <row r="6" spans="1:3" ht="15" thickBot="1">
      <c r="A6" s="64" t="s">
        <v>271</v>
      </c>
      <c r="B6" s="198"/>
    </row>
    <row r="7" spans="1:3" ht="14.5">
      <c r="A7" s="65"/>
      <c r="B7" s="66"/>
    </row>
    <row r="8" spans="1:3" ht="14.5">
      <c r="A8" s="57" t="s">
        <v>120</v>
      </c>
      <c r="B8" s="58"/>
    </row>
    <row r="9" spans="1:3" ht="14.5">
      <c r="A9" s="59" t="s">
        <v>121</v>
      </c>
      <c r="B9" s="67">
        <f>B3</f>
        <v>197510.9410899216</v>
      </c>
    </row>
    <row r="10" spans="1:3" ht="29">
      <c r="A10" s="68" t="s">
        <v>122</v>
      </c>
      <c r="B10" s="67">
        <f>'SF-424_RR-Budget-(RAversion)'!H79</f>
        <v>50000</v>
      </c>
    </row>
    <row r="11" spans="1:3" ht="29.5" thickBot="1">
      <c r="A11" s="61" t="s">
        <v>123</v>
      </c>
      <c r="B11" s="69">
        <f>'SF-424_RR-Budget-(RAversion)'!H77+'SF-424_RR-Budget-(RAversion)'!H83+'SF-424_RR-Budget-(RAversion)'!H84+'SF-424_RR-Budget-(RAversion)'!H85+'SF-424_RR-Budget-(RAversion)'!H80</f>
        <v>16500</v>
      </c>
    </row>
    <row r="12" spans="1:3" ht="14.5">
      <c r="A12" s="70" t="s">
        <v>124</v>
      </c>
      <c r="B12" s="197">
        <f>(B9-B10-B11)/B9</f>
        <v>0.66330979117898958</v>
      </c>
    </row>
    <row r="13" spans="1:3" ht="15" thickBot="1">
      <c r="A13" s="71" t="s">
        <v>125</v>
      </c>
      <c r="B13" s="198"/>
      <c r="C13" s="72"/>
    </row>
    <row r="14" spans="1:3" ht="14.5">
      <c r="A14" s="70" t="s">
        <v>126</v>
      </c>
      <c r="B14" s="197">
        <f>B10/B9</f>
        <v>0.25315053294812817</v>
      </c>
    </row>
    <row r="15" spans="1:3" ht="15" thickBot="1">
      <c r="A15" s="71" t="s">
        <v>127</v>
      </c>
      <c r="B15" s="198"/>
    </row>
    <row r="17" spans="1:1">
      <c r="A17" s="56" t="s">
        <v>128</v>
      </c>
    </row>
  </sheetData>
  <mergeCells count="3">
    <mergeCell ref="B5:B6"/>
    <mergeCell ref="B12:B13"/>
    <mergeCell ref="B14:B15"/>
  </mergeCells>
  <conditionalFormatting sqref="B5:B6">
    <cfRule type="cellIs" dxfId="6" priority="5" operator="lessThan">
      <formula>0.667</formula>
    </cfRule>
    <cfRule type="cellIs" dxfId="5" priority="6" operator="greaterThanOrEqual">
      <formula>0.667</formula>
    </cfRule>
  </conditionalFormatting>
  <conditionalFormatting sqref="B14:B15">
    <cfRule type="cellIs" dxfId="4" priority="3" operator="lessThan">
      <formula>0.3</formula>
    </cfRule>
    <cfRule type="cellIs" dxfId="3" priority="4" operator="greaterThanOrEqual">
      <formula>0.3</formula>
    </cfRule>
  </conditionalFormatting>
  <conditionalFormatting sqref="B12:B13">
    <cfRule type="cellIs" dxfId="2" priority="1" operator="lessThan">
      <formula>0.4</formula>
    </cfRule>
    <cfRule type="cellIs" dxfId="1" priority="2" operator="greaterThanOrEqual">
      <formula>0.4</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F1BD-4D04-4BC2-B6E0-983BAEC235CF}">
  <dimension ref="B1:G27"/>
  <sheetViews>
    <sheetView workbookViewId="0">
      <selection activeCell="C6" sqref="C6"/>
    </sheetView>
  </sheetViews>
  <sheetFormatPr defaultRowHeight="14.5"/>
  <cols>
    <col min="1" max="1" width="3.26953125" customWidth="1"/>
    <col min="2" max="2" width="53" customWidth="1"/>
    <col min="3" max="3" width="20.26953125" customWidth="1"/>
    <col min="4" max="4" width="13.36328125" style="174" customWidth="1"/>
    <col min="5" max="5" width="15.08984375" customWidth="1"/>
    <col min="6" max="6" width="11.08984375" customWidth="1"/>
    <col min="7" max="7" width="25" customWidth="1"/>
    <col min="8" max="8" width="2.6328125" customWidth="1"/>
  </cols>
  <sheetData>
    <row r="1" spans="2:7">
      <c r="B1" s="146"/>
      <c r="C1" s="146"/>
      <c r="D1" s="147"/>
    </row>
    <row r="2" spans="2:7" ht="18.5">
      <c r="B2" s="148" t="s">
        <v>252</v>
      </c>
      <c r="C2" s="149"/>
      <c r="D2" s="150"/>
      <c r="E2" s="148" t="s">
        <v>253</v>
      </c>
    </row>
    <row r="3" spans="2:7">
      <c r="B3" s="151" t="s">
        <v>254</v>
      </c>
      <c r="C3" s="152" t="s">
        <v>116</v>
      </c>
      <c r="D3" s="153"/>
      <c r="E3" s="154" t="s">
        <v>255</v>
      </c>
      <c r="F3" s="155"/>
      <c r="G3" s="155"/>
    </row>
    <row r="4" spans="2:7">
      <c r="B4" s="151" t="s">
        <v>256</v>
      </c>
      <c r="C4" s="152" t="s">
        <v>257</v>
      </c>
      <c r="D4" s="153"/>
      <c r="E4" s="156" t="s">
        <v>258</v>
      </c>
      <c r="F4" s="155"/>
      <c r="G4" s="155"/>
    </row>
    <row r="5" spans="2:7">
      <c r="B5" s="157" t="s">
        <v>259</v>
      </c>
      <c r="C5" s="158">
        <f>'SF-424_RR-Budget-(RAversion)'!I109</f>
        <v>197510.9410899216</v>
      </c>
      <c r="D5" s="159"/>
      <c r="E5" s="155"/>
      <c r="F5" s="155"/>
      <c r="G5" s="155"/>
    </row>
    <row r="6" spans="2:7">
      <c r="B6" s="160" t="str">
        <f>+IF(C3="SBIR","Not required for SBIR","B.  Research Institution Subaward, Amount in F5 for Research Institution: ")</f>
        <v>Not required for SBIR</v>
      </c>
      <c r="C6" s="161">
        <f>IF(C3="SBIR",0,'SF-424_RR-Budget-(RAversion)'!H79)</f>
        <v>0</v>
      </c>
      <c r="D6" s="159"/>
      <c r="E6" s="155"/>
      <c r="F6" s="155"/>
      <c r="G6" s="155"/>
    </row>
    <row r="7" spans="2:7" ht="29">
      <c r="B7" s="160" t="str">
        <f>+IF(C3="SBIR","C. Funding for Consultants &amp; Subawards, F3 + F5 + F8+ F9 + F10 (for third parties): ", "C.  Funding for Consultants &amp; Other Subawards, F3 + F5 (not including Research Institution) + F8 + F9 + F10 (for third parties): ")</f>
        <v xml:space="preserve">C. Funding for Consultants &amp; Subawards, F3 + F5 + F8+ F9 + F10 (for third parties): </v>
      </c>
      <c r="C7" s="161">
        <f>IF(C6=0,'SF-424_RR-Budget-(RAversion)'!H77+'SF-424_RR-Budget-(RAversion)'!H80+'SF-424_RR-Budget-(RAversion)'!H79+'SF-424_RR-Budget-(RAversion)'!H83+'SF-424_RR-Budget-(RAversion)'!H84+'SF-424_RR-Budget-(RAversion)'!H85,'SF-424_RR-Budget-(RAversion)'!H77+'SF-424_RR-Budget-(RAversion)'!H80+'SF-424_RR-Budget-(RAversion)'!H83+'SF-424_RR-Budget-(RAversion)'!H84+'SF-424_RR-Budget-(RAversion)'!H85)</f>
        <v>66500</v>
      </c>
      <c r="D7" s="162" t="s">
        <v>260</v>
      </c>
      <c r="E7" s="163" t="s">
        <v>261</v>
      </c>
      <c r="F7" s="164"/>
      <c r="G7" s="165"/>
    </row>
    <row r="8" spans="2:7">
      <c r="B8" s="166" t="str">
        <f>"Small Business level of effort" &amp; IF(C3="SBIR","= (A-C)/A"," = (A-B-C)/A") &amp; ": "</f>
        <v xml:space="preserve">Small Business level of effort= (A-C)/A: </v>
      </c>
      <c r="C8" s="167">
        <f>+IF(C5&lt;&gt;0,IF(C3="SBIR",(C5-C7)/C5,(C5-C6-C7)/C5),"")</f>
        <v>0.66330979117898958</v>
      </c>
      <c r="D8" s="168" t="str">
        <f>+IF(C5&lt;&gt;0,IF(C8&gt;=+IF(AND(C4="Phase I",OR(C3="SBIR",LEFT(C3,4)="Both")),0.6666667,IF(C3="STTR",0.4,0.5)),"Yes","No"),"")</f>
        <v>No</v>
      </c>
      <c r="E8" s="199" t="str">
        <f>+IF(C5&lt;&gt;0,IF(AND(C3="SBIR",C4="Phase I")," &gt;=  66.7% for SBIR Phase I",+IF(AND(OR(C3="SBIR",LEFT(C3,4)="Both"),C4&lt;&gt;"Phase I"), " &gt;= 50% for " &amp; C3 &amp; " " &amp;  C4,+IF(AND(LEFT(C3,4)="Both",C4="Phase I")," &gt;= 66.7% for " &amp; C3 &amp; " " &amp; C4," &gt;= 40% for " &amp; C3 &amp; " "&amp;C4))) &amp; " applications","")</f>
        <v xml:space="preserve"> &gt;=  66.7% for SBIR Phase I applications</v>
      </c>
      <c r="F8" s="200"/>
      <c r="G8" s="201"/>
    </row>
    <row r="9" spans="2:7">
      <c r="B9" s="169" t="str">
        <f>+IF(C3="SBIR", "","Research Institution level of effort = B/A: ")</f>
        <v/>
      </c>
      <c r="C9" s="167" t="str">
        <f>+IF(C5&lt;&gt;0,IF(C3&lt;&gt;"SBIR",C6/C5,"N/A"),"")</f>
        <v>N/A</v>
      </c>
      <c r="D9" s="168" t="str">
        <f>+IF(C5&lt;&gt;0,IF(C3="SBIR","N/A",IF(C9&gt;=0.3,"Yes","No")),"")</f>
        <v>N/A</v>
      </c>
      <c r="E9" s="199" t="str">
        <f>+IF(C5&lt;&gt;0,IF(C3&lt;&gt;"SBIR"," &gt;= 30% for " &amp; C3 &amp; " " &amp; C4 &amp; " applications",""),"")</f>
        <v/>
      </c>
      <c r="F9" s="200"/>
      <c r="G9" s="201"/>
    </row>
    <row r="10" spans="2:7" ht="18.5">
      <c r="B10" s="148" t="s">
        <v>262</v>
      </c>
      <c r="C10" s="149"/>
      <c r="D10" s="170"/>
      <c r="E10" s="171"/>
      <c r="F10" s="171"/>
      <c r="G10" s="171"/>
    </row>
    <row r="11" spans="2:7">
      <c r="B11" s="157" t="s">
        <v>263</v>
      </c>
      <c r="C11" s="172">
        <f>'SF-424_RR-Budget-(RAversion)'!H83</f>
        <v>6500</v>
      </c>
      <c r="D11" s="168" t="str">
        <f>+IF(C11="","",IF(C11&lt;=+IF(C4="Phase I", 6500,50000),"Yes","No"))</f>
        <v>Yes</v>
      </c>
      <c r="E11" s="199" t="str">
        <f xml:space="preserve"> IF(C11="",""," Maximum TABA vendor budget is " &amp; IF(C4="Phase I","$6,500", "$50,000"))</f>
        <v xml:space="preserve"> Maximum TABA vendor budget is $6,500</v>
      </c>
      <c r="F11" s="200"/>
      <c r="G11" s="201"/>
    </row>
    <row r="12" spans="2:7" ht="14.25" customHeight="1">
      <c r="B12" s="157" t="s">
        <v>264</v>
      </c>
      <c r="C12" s="172">
        <f>'SF-424_RR-Budget-(RAversion)'!H109</f>
        <v>200000</v>
      </c>
      <c r="D12" s="168" t="str">
        <f>+IF(C12="","",IF(AND(D11="Yes",C5&lt;=C11+C12),"Yes","No"))</f>
        <v>Yes</v>
      </c>
      <c r="E12" s="202" t="str">
        <f>" Total Requested Funds, K, should not exceed Maximum Award Amount plus TABA vendor funds"</f>
        <v xml:space="preserve"> Total Requested Funds, K, should not exceed Maximum Award Amount plus TABA vendor funds</v>
      </c>
      <c r="F12" s="203"/>
      <c r="G12" s="204"/>
    </row>
    <row r="13" spans="2:7">
      <c r="B13" s="173" t="s">
        <v>265</v>
      </c>
    </row>
    <row r="14" spans="2:7">
      <c r="B14" s="205" t="s">
        <v>266</v>
      </c>
      <c r="C14" s="205"/>
      <c r="D14" s="205"/>
      <c r="E14" s="205"/>
      <c r="F14" s="205"/>
      <c r="G14" s="205"/>
    </row>
    <row r="15" spans="2:7">
      <c r="B15" s="175"/>
      <c r="C15" s="175"/>
      <c r="D15" s="176"/>
    </row>
    <row r="16" spans="2:7">
      <c r="C16" s="175"/>
      <c r="D16" s="176"/>
    </row>
    <row r="19" spans="2:5">
      <c r="B19" s="177"/>
    </row>
    <row r="21" spans="2:5">
      <c r="B21" s="177"/>
    </row>
    <row r="23" spans="2:5">
      <c r="E23" s="52"/>
    </row>
    <row r="27" spans="2:5" hidden="1"/>
  </sheetData>
  <sheetProtection sheet="1" objects="1" scenarios="1" selectLockedCells="1"/>
  <mergeCells count="5">
    <mergeCell ref="E8:G8"/>
    <mergeCell ref="E9:G9"/>
    <mergeCell ref="E11:G11"/>
    <mergeCell ref="E12:G12"/>
    <mergeCell ref="B14:G14"/>
  </mergeCells>
  <conditionalFormatting sqref="C6">
    <cfRule type="expression" dxfId="0" priority="1">
      <formula>$C$3 = "SBIR"</formula>
    </cfRule>
  </conditionalFormatting>
  <dataValidations count="2">
    <dataValidation type="list" allowBlank="1" showInputMessage="1" showErrorMessage="1" sqref="C3" xr:uid="{1903FE70-2FF1-4BFE-B28E-AD6D5402B436}">
      <formula1>"SBIR,STTR, Both SBIR &amp; STTR"</formula1>
    </dataValidation>
    <dataValidation type="list" allowBlank="1" showInputMessage="1" showErrorMessage="1" sqref="C4" xr:uid="{6DE3698A-A7A5-4328-8F2E-EE9D7DA70E76}">
      <formula1>"Phase I, Phase II, Phase IIA, Phase IIB, Phase IIC"</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6"/>
  <sheetViews>
    <sheetView zoomScaleNormal="100" workbookViewId="0">
      <selection activeCell="H3" sqref="H3:I3"/>
    </sheetView>
  </sheetViews>
  <sheetFormatPr defaultRowHeight="14.5"/>
  <cols>
    <col min="1" max="1" width="19.26953125" customWidth="1"/>
    <col min="2" max="2" width="19.81640625" customWidth="1"/>
    <col min="3" max="3" width="26.54296875" customWidth="1"/>
    <col min="4" max="4" width="19.453125" customWidth="1"/>
    <col min="5" max="5" width="13" bestFit="1" customWidth="1"/>
    <col min="6" max="6" width="15.1796875" bestFit="1" customWidth="1"/>
    <col min="7" max="7" width="10.26953125" customWidth="1"/>
    <col min="8" max="8" width="20.81640625" customWidth="1"/>
    <col min="9" max="9" width="12.453125" customWidth="1"/>
    <col min="10" max="10" width="13.1796875" customWidth="1"/>
    <col min="11" max="11" width="11.26953125" customWidth="1"/>
    <col min="12" max="12" width="17.54296875" customWidth="1"/>
  </cols>
  <sheetData>
    <row r="1" spans="1:13">
      <c r="A1" s="35" t="s">
        <v>129</v>
      </c>
      <c r="B1" s="36"/>
      <c r="C1" s="37"/>
      <c r="D1" s="37"/>
      <c r="E1" s="37"/>
      <c r="F1" s="37"/>
      <c r="G1" s="37"/>
      <c r="H1" s="37"/>
      <c r="I1" s="36"/>
      <c r="J1" s="36"/>
      <c r="K1" s="36"/>
      <c r="L1" s="36"/>
      <c r="M1" s="36"/>
    </row>
    <row r="2" spans="1:13">
      <c r="A2" s="35"/>
      <c r="B2" s="36"/>
      <c r="C2" s="36"/>
      <c r="D2" s="36"/>
      <c r="E2" s="36"/>
      <c r="F2" s="36"/>
      <c r="G2" s="36"/>
      <c r="H2" s="36"/>
      <c r="I2" s="36"/>
      <c r="J2" s="36"/>
      <c r="K2" s="36"/>
      <c r="L2" s="36"/>
      <c r="M2" s="36"/>
    </row>
    <row r="3" spans="1:13" ht="18">
      <c r="A3" s="36"/>
      <c r="B3" s="36"/>
      <c r="C3" s="36"/>
      <c r="D3" s="36"/>
      <c r="E3" s="36"/>
      <c r="F3" s="36"/>
      <c r="G3" s="36"/>
      <c r="H3" s="206" t="s">
        <v>130</v>
      </c>
      <c r="I3" s="207"/>
      <c r="J3" s="36"/>
      <c r="K3" s="36"/>
      <c r="L3" s="36"/>
      <c r="M3" s="36"/>
    </row>
    <row r="4" spans="1:13" ht="18">
      <c r="A4" s="99" t="s">
        <v>131</v>
      </c>
      <c r="B4" s="100" t="s">
        <v>132</v>
      </c>
      <c r="C4" s="101" t="s">
        <v>133</v>
      </c>
      <c r="D4" s="101" t="s">
        <v>134</v>
      </c>
      <c r="E4" s="101" t="s">
        <v>135</v>
      </c>
      <c r="F4" s="101" t="s">
        <v>136</v>
      </c>
      <c r="G4" s="101" t="s">
        <v>137</v>
      </c>
      <c r="H4" s="101" t="s">
        <v>138</v>
      </c>
      <c r="I4" s="102" t="s">
        <v>139</v>
      </c>
      <c r="J4" s="102" t="s">
        <v>140</v>
      </c>
      <c r="K4" s="102" t="s">
        <v>27</v>
      </c>
      <c r="L4" s="102" t="s">
        <v>141</v>
      </c>
      <c r="M4" s="36"/>
    </row>
    <row r="5" spans="1:13" ht="35">
      <c r="A5" s="103" t="s">
        <v>142</v>
      </c>
      <c r="B5" s="104" t="s">
        <v>143</v>
      </c>
      <c r="C5" s="105" t="s">
        <v>144</v>
      </c>
      <c r="D5" s="105" t="s">
        <v>145</v>
      </c>
      <c r="E5" s="104">
        <v>3</v>
      </c>
      <c r="F5" s="104">
        <v>1</v>
      </c>
      <c r="G5" s="104">
        <v>3</v>
      </c>
      <c r="H5" s="106">
        <v>130</v>
      </c>
      <c r="I5" s="107">
        <v>64</v>
      </c>
      <c r="J5" s="107">
        <v>360</v>
      </c>
      <c r="K5" s="107">
        <v>0</v>
      </c>
      <c r="L5" s="108">
        <f>(E5*F5*G5*I5)+(E5*F5*G5*H5)+(E5*F5*J5)+K5</f>
        <v>2826</v>
      </c>
      <c r="M5" s="36"/>
    </row>
    <row r="6" spans="1:13" ht="35">
      <c r="A6" s="103" t="s">
        <v>142</v>
      </c>
      <c r="B6" s="104" t="s">
        <v>146</v>
      </c>
      <c r="C6" s="105" t="s">
        <v>147</v>
      </c>
      <c r="D6" s="105" t="s">
        <v>148</v>
      </c>
      <c r="E6" s="110">
        <v>1</v>
      </c>
      <c r="F6" s="110">
        <v>1</v>
      </c>
      <c r="G6" s="110">
        <v>2</v>
      </c>
      <c r="H6" s="110">
        <v>130</v>
      </c>
      <c r="I6" s="111">
        <v>64</v>
      </c>
      <c r="J6" s="112">
        <v>360</v>
      </c>
      <c r="K6" s="111">
        <v>250</v>
      </c>
      <c r="L6" s="108">
        <f t="shared" ref="L6:L9" si="0">(E6*F6*G6*I6)+(E6*F6*G6*H6)+(E6*F6*J6)+K6</f>
        <v>998</v>
      </c>
      <c r="M6" s="36"/>
    </row>
    <row r="7" spans="1:13" ht="35">
      <c r="A7" s="103" t="s">
        <v>142</v>
      </c>
      <c r="B7" s="104" t="s">
        <v>146</v>
      </c>
      <c r="C7" s="113" t="s">
        <v>149</v>
      </c>
      <c r="D7" s="105" t="s">
        <v>148</v>
      </c>
      <c r="E7" s="110">
        <v>1</v>
      </c>
      <c r="F7" s="110">
        <v>1</v>
      </c>
      <c r="G7" s="110">
        <v>2</v>
      </c>
      <c r="H7" s="110">
        <v>130</v>
      </c>
      <c r="I7" s="111">
        <v>64</v>
      </c>
      <c r="J7" s="112">
        <v>360</v>
      </c>
      <c r="K7" s="111">
        <v>250</v>
      </c>
      <c r="L7" s="108">
        <f t="shared" si="0"/>
        <v>998</v>
      </c>
      <c r="M7" s="36"/>
    </row>
    <row r="8" spans="1:13" ht="17.5">
      <c r="A8" s="109"/>
      <c r="B8" s="110"/>
      <c r="C8" s="110"/>
      <c r="D8" s="110"/>
      <c r="E8" s="110"/>
      <c r="F8" s="110">
        <v>0</v>
      </c>
      <c r="G8" s="110">
        <v>0</v>
      </c>
      <c r="H8" s="110">
        <v>0</v>
      </c>
      <c r="I8" s="111">
        <v>0</v>
      </c>
      <c r="J8" s="112">
        <v>0</v>
      </c>
      <c r="K8" s="111">
        <v>0</v>
      </c>
      <c r="L8" s="108">
        <f t="shared" si="0"/>
        <v>0</v>
      </c>
      <c r="M8" s="36"/>
    </row>
    <row r="9" spans="1:13" ht="17.5">
      <c r="A9" s="110"/>
      <c r="B9" s="109"/>
      <c r="C9" s="110"/>
      <c r="D9" s="110"/>
      <c r="E9" s="110"/>
      <c r="F9" s="110"/>
      <c r="G9" s="110"/>
      <c r="H9" s="110"/>
      <c r="I9" s="112"/>
      <c r="J9" s="112"/>
      <c r="K9" s="112">
        <v>0</v>
      </c>
      <c r="L9" s="108">
        <f t="shared" si="0"/>
        <v>0</v>
      </c>
      <c r="M9" s="36"/>
    </row>
    <row r="10" spans="1:13" ht="17.5">
      <c r="A10" s="114"/>
      <c r="B10" s="115"/>
      <c r="C10" s="114"/>
      <c r="D10" s="114"/>
      <c r="E10" s="114"/>
      <c r="F10" s="114"/>
      <c r="G10" s="114"/>
      <c r="H10" s="114"/>
      <c r="I10" s="116"/>
      <c r="J10" s="116"/>
      <c r="K10" s="116"/>
      <c r="L10" s="117"/>
      <c r="M10" s="36"/>
    </row>
    <row r="11" spans="1:13" ht="18">
      <c r="A11" s="118"/>
      <c r="B11" s="118"/>
      <c r="C11" s="118"/>
      <c r="D11" s="118"/>
      <c r="E11" s="118"/>
      <c r="F11" s="118"/>
      <c r="G11" s="118"/>
      <c r="H11" s="118"/>
      <c r="I11" s="118"/>
      <c r="J11" s="118"/>
      <c r="K11" s="118"/>
      <c r="L11" s="119">
        <f>SUM(L5:L10)</f>
        <v>4822</v>
      </c>
      <c r="M11" s="36" t="s">
        <v>28</v>
      </c>
    </row>
    <row r="13" spans="1:13">
      <c r="A13" s="39" t="s">
        <v>150</v>
      </c>
      <c r="L13" s="52"/>
    </row>
    <row r="14" spans="1:13">
      <c r="A14" s="39" t="s">
        <v>151</v>
      </c>
    </row>
    <row r="15" spans="1:13">
      <c r="A15" s="39"/>
      <c r="B15" s="54" t="s">
        <v>152</v>
      </c>
    </row>
    <row r="16" spans="1:13">
      <c r="A16" t="s">
        <v>153</v>
      </c>
    </row>
  </sheetData>
  <mergeCells count="1">
    <mergeCell ref="H3:I3"/>
  </mergeCells>
  <hyperlinks>
    <hyperlink ref="B15" r:id="rId1" xr:uid="{9F7A27AA-1F3F-4BD4-A7BE-A3F7379A1A3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6"/>
  <sheetViews>
    <sheetView zoomScale="130" zoomScaleNormal="130" workbookViewId="0">
      <selection activeCell="C17" sqref="C17"/>
    </sheetView>
  </sheetViews>
  <sheetFormatPr defaultRowHeight="14.5"/>
  <cols>
    <col min="1" max="1" width="27.453125" customWidth="1"/>
    <col min="3" max="3" width="12.81640625" customWidth="1"/>
    <col min="4" max="4" width="12.453125" customWidth="1"/>
    <col min="5" max="5" width="19" bestFit="1" customWidth="1"/>
  </cols>
  <sheetData>
    <row r="1" spans="1:6">
      <c r="A1" s="35" t="s">
        <v>154</v>
      </c>
      <c r="B1" s="35"/>
      <c r="C1" s="36"/>
      <c r="D1" s="37" t="s">
        <v>155</v>
      </c>
      <c r="E1" s="36"/>
      <c r="F1" s="36"/>
    </row>
    <row r="2" spans="1:6">
      <c r="A2" s="35" t="s">
        <v>156</v>
      </c>
      <c r="B2" s="35"/>
      <c r="C2" s="36"/>
      <c r="D2" s="36"/>
      <c r="E2" s="36"/>
      <c r="F2" s="36"/>
    </row>
    <row r="3" spans="1:6">
      <c r="A3" s="35" t="s">
        <v>157</v>
      </c>
      <c r="B3" s="35"/>
      <c r="C3" s="36"/>
      <c r="D3" s="40"/>
      <c r="E3" s="38"/>
      <c r="F3" s="36"/>
    </row>
    <row r="4" spans="1:6">
      <c r="A4" s="35"/>
      <c r="B4" s="35"/>
      <c r="C4" s="36"/>
      <c r="D4" s="40"/>
      <c r="E4" s="38"/>
      <c r="F4" s="36"/>
    </row>
    <row r="5" spans="1:6">
      <c r="A5" s="35" t="s">
        <v>158</v>
      </c>
      <c r="B5" s="37" t="s">
        <v>159</v>
      </c>
      <c r="C5" s="37" t="s">
        <v>160</v>
      </c>
      <c r="D5" s="37" t="s">
        <v>161</v>
      </c>
      <c r="E5" s="35" t="s">
        <v>162</v>
      </c>
      <c r="F5" s="37" t="s">
        <v>163</v>
      </c>
    </row>
    <row r="6" spans="1:6">
      <c r="A6" s="45" t="s">
        <v>164</v>
      </c>
      <c r="B6" s="46">
        <v>400</v>
      </c>
      <c r="C6" s="47">
        <v>11.07</v>
      </c>
      <c r="D6" s="48">
        <f t="shared" ref="D6:D16" si="0">B6*C6</f>
        <v>4428</v>
      </c>
      <c r="E6" s="46"/>
      <c r="F6" s="49" t="s">
        <v>165</v>
      </c>
    </row>
    <row r="7" spans="1:6">
      <c r="A7" s="45" t="s">
        <v>166</v>
      </c>
      <c r="B7" s="46">
        <v>60</v>
      </c>
      <c r="C7" s="47">
        <v>56.62</v>
      </c>
      <c r="D7" s="48">
        <f t="shared" si="0"/>
        <v>3397.2</v>
      </c>
      <c r="E7" s="46"/>
      <c r="F7" s="50" t="s">
        <v>167</v>
      </c>
    </row>
    <row r="8" spans="1:6">
      <c r="A8" s="45" t="s">
        <v>168</v>
      </c>
      <c r="B8" s="46">
        <v>80</v>
      </c>
      <c r="C8" s="47">
        <v>27.57</v>
      </c>
      <c r="D8" s="48">
        <f t="shared" si="0"/>
        <v>2205.6</v>
      </c>
      <c r="E8" s="46"/>
      <c r="F8" s="50" t="s">
        <v>167</v>
      </c>
    </row>
    <row r="9" spans="1:6">
      <c r="A9" s="45" t="s">
        <v>169</v>
      </c>
      <c r="B9" s="46">
        <v>80</v>
      </c>
      <c r="C9" s="46">
        <v>13.95</v>
      </c>
      <c r="D9" s="48">
        <f t="shared" si="0"/>
        <v>1116</v>
      </c>
      <c r="E9" s="98"/>
      <c r="F9" s="49" t="s">
        <v>167</v>
      </c>
    </row>
    <row r="10" spans="1:6">
      <c r="A10" s="45" t="s">
        <v>170</v>
      </c>
      <c r="B10" s="46">
        <v>200</v>
      </c>
      <c r="C10" s="47">
        <v>20.09</v>
      </c>
      <c r="D10" s="48">
        <f t="shared" si="0"/>
        <v>4018</v>
      </c>
      <c r="E10" s="46"/>
      <c r="F10" s="50" t="s">
        <v>167</v>
      </c>
    </row>
    <row r="11" spans="1:6">
      <c r="A11" s="45" t="s">
        <v>171</v>
      </c>
      <c r="B11" s="46">
        <v>200</v>
      </c>
      <c r="C11" s="47">
        <v>0.93</v>
      </c>
      <c r="D11" s="48">
        <f t="shared" si="0"/>
        <v>186</v>
      </c>
      <c r="E11" s="46"/>
      <c r="F11" s="50" t="s">
        <v>167</v>
      </c>
    </row>
    <row r="12" spans="1:6">
      <c r="A12" s="45" t="s">
        <v>172</v>
      </c>
      <c r="B12" s="46">
        <v>10</v>
      </c>
      <c r="C12" s="47">
        <v>99</v>
      </c>
      <c r="D12" s="48">
        <f t="shared" si="0"/>
        <v>990</v>
      </c>
      <c r="E12" s="46"/>
      <c r="F12" s="50" t="s">
        <v>167</v>
      </c>
    </row>
    <row r="13" spans="1:6">
      <c r="A13" s="45" t="s">
        <v>173</v>
      </c>
      <c r="B13" s="46">
        <v>3000</v>
      </c>
      <c r="C13" s="47">
        <v>6.4000000000000001E-2</v>
      </c>
      <c r="D13" s="48">
        <f t="shared" si="0"/>
        <v>192</v>
      </c>
      <c r="E13" s="46"/>
      <c r="F13" s="50" t="s">
        <v>167</v>
      </c>
    </row>
    <row r="14" spans="1:6">
      <c r="A14" s="45" t="s">
        <v>174</v>
      </c>
      <c r="B14" s="46">
        <v>2000</v>
      </c>
      <c r="C14" s="47">
        <v>0.17399999999999999</v>
      </c>
      <c r="D14" s="48">
        <f t="shared" si="0"/>
        <v>348</v>
      </c>
      <c r="E14" s="46"/>
      <c r="F14" s="50" t="s">
        <v>167</v>
      </c>
    </row>
    <row r="15" spans="1:6">
      <c r="A15" s="45" t="s">
        <v>175</v>
      </c>
      <c r="B15" s="46">
        <v>2000</v>
      </c>
      <c r="C15" s="47">
        <v>0.86</v>
      </c>
      <c r="D15" s="48">
        <f t="shared" si="0"/>
        <v>1720</v>
      </c>
      <c r="E15" s="46"/>
      <c r="F15" s="50"/>
    </row>
    <row r="16" spans="1:6">
      <c r="A16" s="45" t="s">
        <v>176</v>
      </c>
      <c r="B16" s="46">
        <v>1500</v>
      </c>
      <c r="C16" s="46">
        <v>7.4999999999999997E-2</v>
      </c>
      <c r="D16" s="48">
        <f t="shared" si="0"/>
        <v>112.5</v>
      </c>
      <c r="E16" s="49"/>
      <c r="F16" s="49" t="s">
        <v>167</v>
      </c>
    </row>
    <row r="17" spans="1:6">
      <c r="A17" s="45" t="s">
        <v>177</v>
      </c>
      <c r="B17" s="46">
        <v>1</v>
      </c>
      <c r="C17" s="46">
        <v>2000</v>
      </c>
      <c r="D17" s="48">
        <v>3000</v>
      </c>
      <c r="E17" s="49"/>
      <c r="F17" s="49" t="s">
        <v>178</v>
      </c>
    </row>
    <row r="18" spans="1:6">
      <c r="A18" s="40" t="s">
        <v>179</v>
      </c>
      <c r="B18" s="36"/>
      <c r="C18" s="36"/>
      <c r="D18" s="41">
        <f>SUM(D6:D17)</f>
        <v>21713.3</v>
      </c>
      <c r="E18" s="35"/>
      <c r="F18" s="36"/>
    </row>
    <row r="19" spans="1:6">
      <c r="A19" s="42"/>
      <c r="B19" s="42"/>
      <c r="C19" s="36"/>
      <c r="D19" s="36"/>
      <c r="E19" s="36"/>
      <c r="F19" s="36"/>
    </row>
    <row r="20" spans="1:6">
      <c r="A20" s="43"/>
      <c r="B20" s="43"/>
      <c r="C20" s="36"/>
      <c r="D20" s="36"/>
      <c r="E20" s="36"/>
      <c r="F20" s="36"/>
    </row>
    <row r="21" spans="1:6">
      <c r="A21" s="36"/>
      <c r="B21" s="36"/>
      <c r="C21" s="36"/>
      <c r="D21" s="36"/>
      <c r="E21" s="36"/>
      <c r="F21" s="36"/>
    </row>
    <row r="22" spans="1:6">
      <c r="A22" s="35" t="s">
        <v>180</v>
      </c>
      <c r="B22" s="36"/>
      <c r="C22" s="36"/>
      <c r="D22" s="36"/>
      <c r="E22" s="36"/>
      <c r="F22" s="36"/>
    </row>
    <row r="23" spans="1:6">
      <c r="A23" s="36" t="s">
        <v>181</v>
      </c>
      <c r="B23" s="36"/>
      <c r="C23" s="36"/>
      <c r="D23" s="36"/>
      <c r="E23" s="36"/>
      <c r="F23" s="36"/>
    </row>
    <row r="24" spans="1:6">
      <c r="A24" s="36" t="s">
        <v>182</v>
      </c>
      <c r="B24" s="36"/>
      <c r="C24" s="36"/>
      <c r="D24" s="36"/>
      <c r="E24" s="36"/>
      <c r="F24" s="36"/>
    </row>
    <row r="25" spans="1:6">
      <c r="A25" s="36" t="s">
        <v>183</v>
      </c>
      <c r="B25" s="36"/>
      <c r="C25" s="36"/>
      <c r="D25" s="36"/>
      <c r="E25" s="36"/>
      <c r="F25" s="36"/>
    </row>
    <row r="26" spans="1:6">
      <c r="A26" s="36" t="s">
        <v>184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9"/>
  <sheetViews>
    <sheetView zoomScale="150" zoomScaleNormal="150" workbookViewId="0">
      <selection activeCell="D5" sqref="D5"/>
    </sheetView>
  </sheetViews>
  <sheetFormatPr defaultRowHeight="14.5"/>
  <cols>
    <col min="1" max="1" width="66" bestFit="1" customWidth="1"/>
  </cols>
  <sheetData>
    <row r="1" spans="1:1">
      <c r="A1" s="44" t="s">
        <v>185</v>
      </c>
    </row>
    <row r="3" spans="1:1">
      <c r="A3" s="44" t="s">
        <v>186</v>
      </c>
    </row>
    <row r="5" spans="1:1">
      <c r="A5" s="44" t="s">
        <v>187</v>
      </c>
    </row>
    <row r="7" spans="1:1">
      <c r="A7" s="44" t="s">
        <v>188</v>
      </c>
    </row>
    <row r="9" spans="1:1">
      <c r="A9" s="44" t="s">
        <v>189</v>
      </c>
    </row>
    <row r="11" spans="1:1">
      <c r="A11" s="1" t="s">
        <v>190</v>
      </c>
    </row>
    <row r="12" spans="1:1">
      <c r="A12" t="s">
        <v>191</v>
      </c>
    </row>
    <row r="13" spans="1:1">
      <c r="A13" t="s">
        <v>192</v>
      </c>
    </row>
    <row r="14" spans="1:1">
      <c r="A14" t="s">
        <v>193</v>
      </c>
    </row>
    <row r="15" spans="1:1">
      <c r="A15" t="s">
        <v>194</v>
      </c>
    </row>
    <row r="16" spans="1:1">
      <c r="A16" t="s">
        <v>195</v>
      </c>
    </row>
    <row r="17" spans="1:1">
      <c r="A17" s="54" t="s">
        <v>196</v>
      </c>
    </row>
    <row r="19" spans="1:1">
      <c r="A19" s="96"/>
    </row>
  </sheetData>
  <hyperlinks>
    <hyperlink ref="A1" r:id="rId1" location="11-0000" display="https://www.bls.gov/oes/current/oes_nat.htm - 11-0000" xr:uid="{00000000-0004-0000-0500-000000000000}"/>
    <hyperlink ref="A3" r:id="rId2" location="11-0000" display="http://www.bls.gov/oes/current/oes_nat.htm - 11-0000" xr:uid="{00000000-0004-0000-0500-000001000000}"/>
    <hyperlink ref="A5" r:id="rId3" location="15-0000" display="http://www.bls.gov/oes/current/oes_nat.htm - 15-0000" xr:uid="{00000000-0004-0000-0500-000002000000}"/>
    <hyperlink ref="A7" r:id="rId4" location="17-0000" display="http://www.bls.gov/oes/current/oes_nat.htm - 17-0000" xr:uid="{00000000-0004-0000-0500-000003000000}"/>
    <hyperlink ref="A9" r:id="rId5" location="19-0000" display="http://www.bls.gov/oes/current/oes_nat.htm - 19-0000" xr:uid="{00000000-0004-0000-0500-000004000000}"/>
    <hyperlink ref="A17" r:id="rId6" xr:uid="{00000000-0004-0000-0500-000005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7"/>
  <sheetViews>
    <sheetView tabSelected="1" topLeftCell="B3" zoomScaleNormal="100" workbookViewId="0">
      <selection activeCell="D20" sqref="D20:E20"/>
    </sheetView>
  </sheetViews>
  <sheetFormatPr defaultRowHeight="14.5"/>
  <cols>
    <col min="2" max="2" width="19.453125" customWidth="1"/>
    <col min="3" max="3" width="15" customWidth="1"/>
    <col min="4" max="4" width="14.1796875" customWidth="1"/>
    <col min="5" max="6" width="13.81640625" customWidth="1"/>
    <col min="8" max="8" width="9.81640625" customWidth="1"/>
    <col min="9" max="13" width="14.54296875" customWidth="1"/>
  </cols>
  <sheetData>
    <row r="1" spans="1:13" ht="15.5">
      <c r="A1" s="74" t="s">
        <v>197</v>
      </c>
    </row>
    <row r="3" spans="1:13" ht="15.5">
      <c r="A3" s="75" t="s">
        <v>198</v>
      </c>
    </row>
    <row r="4" spans="1:13">
      <c r="A4" t="s">
        <v>199</v>
      </c>
    </row>
    <row r="5" spans="1:13">
      <c r="A5" t="s">
        <v>200</v>
      </c>
    </row>
    <row r="6" spans="1:13">
      <c r="B6" t="s">
        <v>201</v>
      </c>
    </row>
    <row r="7" spans="1:13">
      <c r="A7" t="s">
        <v>202</v>
      </c>
    </row>
    <row r="8" spans="1:13">
      <c r="A8" t="s">
        <v>203</v>
      </c>
    </row>
    <row r="10" spans="1:13" ht="15.5">
      <c r="A10" s="75" t="s">
        <v>204</v>
      </c>
      <c r="H10" s="75" t="s">
        <v>205</v>
      </c>
    </row>
    <row r="11" spans="1:13">
      <c r="L11" s="77">
        <f>K13+M13</f>
        <v>75331.333333333343</v>
      </c>
    </row>
    <row r="12" spans="1:13">
      <c r="B12" s="1" t="s">
        <v>206</v>
      </c>
      <c r="C12" s="3" t="s">
        <v>207</v>
      </c>
      <c r="D12" s="3" t="s">
        <v>208</v>
      </c>
      <c r="I12" s="1" t="s">
        <v>206</v>
      </c>
      <c r="J12" s="3" t="s">
        <v>207</v>
      </c>
      <c r="K12" s="3" t="s">
        <v>208</v>
      </c>
      <c r="L12" s="122" t="s">
        <v>209</v>
      </c>
      <c r="M12" s="122" t="s">
        <v>210</v>
      </c>
    </row>
    <row r="13" spans="1:13">
      <c r="B13" s="1" t="s">
        <v>211</v>
      </c>
      <c r="C13" s="76">
        <f>(200000*2/3)+2</f>
        <v>133335.33333333334</v>
      </c>
      <c r="D13" s="77">
        <f>200000-C13</f>
        <v>66664.666666666657</v>
      </c>
      <c r="I13" s="1" t="s">
        <v>211</v>
      </c>
      <c r="J13" s="76">
        <f>(206500*2/3)+2</f>
        <v>137668.66666666666</v>
      </c>
      <c r="K13" s="77">
        <f>206500-J13</f>
        <v>68831.333333333343</v>
      </c>
      <c r="L13" s="77">
        <f>K13-6500</f>
        <v>62331.333333333343</v>
      </c>
      <c r="M13">
        <v>6500</v>
      </c>
    </row>
    <row r="14" spans="1:13">
      <c r="B14" s="53"/>
      <c r="I14" s="53"/>
    </row>
    <row r="15" spans="1:13">
      <c r="B15" s="1" t="s">
        <v>212</v>
      </c>
      <c r="C15" s="3" t="s">
        <v>207</v>
      </c>
      <c r="D15" s="3" t="s">
        <v>213</v>
      </c>
      <c r="E15" s="3" t="s">
        <v>214</v>
      </c>
      <c r="F15" s="3" t="s">
        <v>208</v>
      </c>
      <c r="I15" s="1" t="s">
        <v>212</v>
      </c>
      <c r="J15" s="3" t="s">
        <v>207</v>
      </c>
      <c r="K15" s="3" t="s">
        <v>213</v>
      </c>
      <c r="L15" s="3" t="s">
        <v>214</v>
      </c>
      <c r="M15" s="3" t="s">
        <v>208</v>
      </c>
    </row>
    <row r="16" spans="1:13">
      <c r="B16" s="1" t="s">
        <v>211</v>
      </c>
      <c r="C16" s="76">
        <f>(200000*0.4)</f>
        <v>80000</v>
      </c>
      <c r="D16" s="76">
        <f>200000-E16</f>
        <v>140000</v>
      </c>
      <c r="E16" s="77">
        <f>200000*0.3</f>
        <v>60000</v>
      </c>
      <c r="F16" s="77">
        <f>200000-C16</f>
        <v>120000</v>
      </c>
      <c r="I16" s="1" t="s">
        <v>211</v>
      </c>
      <c r="J16" s="76">
        <f>(206500*0.4)</f>
        <v>82600</v>
      </c>
      <c r="K16" s="76">
        <f>206500-L16</f>
        <v>144550</v>
      </c>
      <c r="L16" s="77">
        <f>206500*0.3</f>
        <v>61950</v>
      </c>
      <c r="M16" s="77">
        <f>206500-J16</f>
        <v>123900</v>
      </c>
    </row>
    <row r="18" spans="1:13">
      <c r="B18" s="1" t="s">
        <v>215</v>
      </c>
      <c r="C18" s="3" t="s">
        <v>207</v>
      </c>
      <c r="D18" s="3" t="s">
        <v>213</v>
      </c>
      <c r="E18" s="3" t="s">
        <v>214</v>
      </c>
      <c r="F18" s="3" t="s">
        <v>208</v>
      </c>
      <c r="I18" s="1" t="s">
        <v>215</v>
      </c>
      <c r="J18" s="3" t="s">
        <v>207</v>
      </c>
      <c r="K18" s="3" t="s">
        <v>213</v>
      </c>
      <c r="L18" s="3" t="s">
        <v>214</v>
      </c>
      <c r="M18" s="3" t="s">
        <v>208</v>
      </c>
    </row>
    <row r="19" spans="1:13">
      <c r="B19" s="1" t="s">
        <v>211</v>
      </c>
      <c r="C19" s="76">
        <f>C13</f>
        <v>133335.33333333334</v>
      </c>
      <c r="D19" s="76">
        <f>200000-E19</f>
        <v>140000</v>
      </c>
      <c r="E19" s="77">
        <f>200000*0.3</f>
        <v>60000</v>
      </c>
      <c r="F19" s="77">
        <f>D13</f>
        <v>66664.666666666657</v>
      </c>
      <c r="I19" s="1" t="s">
        <v>211</v>
      </c>
      <c r="J19" s="76">
        <f>J13</f>
        <v>137668.66666666666</v>
      </c>
      <c r="K19" s="76">
        <f>206500-L19</f>
        <v>144550</v>
      </c>
      <c r="L19" s="77">
        <f>206500*0.3</f>
        <v>61950</v>
      </c>
      <c r="M19" s="77">
        <f>K13</f>
        <v>68831.333333333343</v>
      </c>
    </row>
    <row r="20" spans="1:13">
      <c r="D20" s="77"/>
      <c r="E20" s="77"/>
    </row>
    <row r="21" spans="1:13" ht="15.5">
      <c r="A21" s="75" t="s">
        <v>216</v>
      </c>
      <c r="H21" s="75" t="s">
        <v>217</v>
      </c>
    </row>
    <row r="23" spans="1:13">
      <c r="B23" s="1" t="s">
        <v>206</v>
      </c>
      <c r="C23" s="3" t="s">
        <v>207</v>
      </c>
      <c r="D23" s="3" t="s">
        <v>208</v>
      </c>
      <c r="I23" s="1" t="s">
        <v>206</v>
      </c>
      <c r="J23" s="3" t="s">
        <v>207</v>
      </c>
      <c r="K23" s="3" t="s">
        <v>208</v>
      </c>
    </row>
    <row r="24" spans="1:13">
      <c r="B24" s="1" t="s">
        <v>211</v>
      </c>
      <c r="C24" s="76">
        <f>(250000*2/3)</f>
        <v>166666.66666666666</v>
      </c>
      <c r="D24" s="77">
        <f>250000-C24</f>
        <v>83333.333333333343</v>
      </c>
      <c r="I24" s="1" t="s">
        <v>211</v>
      </c>
      <c r="J24" s="76">
        <f>(256500*2/3)</f>
        <v>171000</v>
      </c>
      <c r="K24" s="77">
        <f>256500-J24</f>
        <v>85500</v>
      </c>
    </row>
    <row r="25" spans="1:13">
      <c r="B25" s="53"/>
      <c r="I25" s="53"/>
    </row>
    <row r="26" spans="1:13">
      <c r="B26" s="1" t="s">
        <v>212</v>
      </c>
      <c r="C26" s="3" t="s">
        <v>207</v>
      </c>
      <c r="D26" s="3" t="s">
        <v>213</v>
      </c>
      <c r="E26" s="3" t="s">
        <v>214</v>
      </c>
      <c r="F26" s="3" t="s">
        <v>208</v>
      </c>
      <c r="I26" s="1" t="s">
        <v>212</v>
      </c>
      <c r="J26" s="3" t="s">
        <v>207</v>
      </c>
      <c r="K26" s="3" t="s">
        <v>213</v>
      </c>
      <c r="L26" s="3" t="s">
        <v>214</v>
      </c>
      <c r="M26" s="3" t="s">
        <v>208</v>
      </c>
    </row>
    <row r="27" spans="1:13">
      <c r="B27" s="1" t="s">
        <v>211</v>
      </c>
      <c r="C27" s="76">
        <f>(250000*0.4)</f>
        <v>100000</v>
      </c>
      <c r="D27" s="76">
        <f>250000-E27</f>
        <v>175000</v>
      </c>
      <c r="E27" s="77">
        <f>250000*0.3</f>
        <v>75000</v>
      </c>
      <c r="F27" s="77">
        <f>250000-C27</f>
        <v>150000</v>
      </c>
      <c r="I27" s="1" t="s">
        <v>211</v>
      </c>
      <c r="J27" s="76">
        <f>(256500*0.4)</f>
        <v>102600</v>
      </c>
      <c r="K27" s="76">
        <f>256500-L27</f>
        <v>179550</v>
      </c>
      <c r="L27" s="77">
        <f>256500*0.3</f>
        <v>76950</v>
      </c>
      <c r="M27" s="77">
        <f>256500-J27</f>
        <v>153900</v>
      </c>
    </row>
    <row r="29" spans="1:13">
      <c r="B29" s="1" t="s">
        <v>215</v>
      </c>
      <c r="C29" s="3" t="s">
        <v>207</v>
      </c>
      <c r="D29" s="3" t="s">
        <v>213</v>
      </c>
      <c r="E29" s="3" t="s">
        <v>214</v>
      </c>
      <c r="F29" s="3" t="s">
        <v>208</v>
      </c>
      <c r="I29" s="1" t="s">
        <v>215</v>
      </c>
      <c r="J29" s="3" t="s">
        <v>207</v>
      </c>
      <c r="K29" s="3" t="s">
        <v>213</v>
      </c>
      <c r="L29" s="3" t="s">
        <v>214</v>
      </c>
      <c r="M29" s="3" t="s">
        <v>208</v>
      </c>
    </row>
    <row r="30" spans="1:13">
      <c r="B30" s="1" t="s">
        <v>211</v>
      </c>
      <c r="C30" s="76">
        <f>C24</f>
        <v>166666.66666666666</v>
      </c>
      <c r="D30" s="76">
        <f>250000-E30</f>
        <v>175000</v>
      </c>
      <c r="E30" s="77">
        <f>250000*0.3</f>
        <v>75000</v>
      </c>
      <c r="F30" s="77">
        <f>D24</f>
        <v>83333.333333333343</v>
      </c>
      <c r="I30" s="1" t="s">
        <v>211</v>
      </c>
      <c r="J30" s="76">
        <f>J24</f>
        <v>171000</v>
      </c>
      <c r="K30" s="76">
        <f>256500-L30</f>
        <v>179550</v>
      </c>
      <c r="L30" s="77">
        <f>256500*0.3</f>
        <v>76950</v>
      </c>
      <c r="M30" s="77">
        <f>K24</f>
        <v>85500</v>
      </c>
    </row>
    <row r="32" spans="1:13">
      <c r="A32" s="1" t="s">
        <v>218</v>
      </c>
      <c r="I32" s="1" t="s">
        <v>219</v>
      </c>
    </row>
    <row r="33" spans="1:9">
      <c r="A33" t="s">
        <v>220</v>
      </c>
      <c r="I33" t="s">
        <v>221</v>
      </c>
    </row>
    <row r="34" spans="1:9">
      <c r="A34" t="s">
        <v>222</v>
      </c>
      <c r="I34" t="s">
        <v>223</v>
      </c>
    </row>
    <row r="36" spans="1:9">
      <c r="A36" t="s">
        <v>224</v>
      </c>
      <c r="I36" t="s">
        <v>225</v>
      </c>
    </row>
    <row r="37" spans="1:9">
      <c r="A37" t="s">
        <v>226</v>
      </c>
      <c r="I37" t="s">
        <v>227</v>
      </c>
    </row>
    <row r="39" spans="1:9">
      <c r="A39" t="s">
        <v>228</v>
      </c>
      <c r="I39" t="s">
        <v>229</v>
      </c>
    </row>
    <row r="40" spans="1:9">
      <c r="A40" t="s">
        <v>230</v>
      </c>
      <c r="I40" t="s">
        <v>231</v>
      </c>
    </row>
    <row r="42" spans="1:9">
      <c r="A42" s="1" t="s">
        <v>232</v>
      </c>
      <c r="I42" s="1" t="s">
        <v>232</v>
      </c>
    </row>
    <row r="43" spans="1:9">
      <c r="A43" t="s">
        <v>233</v>
      </c>
      <c r="I43" t="s">
        <v>234</v>
      </c>
    </row>
    <row r="44" spans="1:9">
      <c r="A44" t="s">
        <v>235</v>
      </c>
      <c r="I44" t="s">
        <v>236</v>
      </c>
    </row>
    <row r="46" spans="1:9">
      <c r="A46" t="s">
        <v>237</v>
      </c>
      <c r="I46" t="s">
        <v>238</v>
      </c>
    </row>
    <row r="47" spans="1:9">
      <c r="A47" t="s">
        <v>239</v>
      </c>
      <c r="I47" t="s">
        <v>240</v>
      </c>
    </row>
    <row r="49" spans="1:9">
      <c r="A49" t="s">
        <v>241</v>
      </c>
      <c r="I49" t="s">
        <v>242</v>
      </c>
    </row>
    <row r="50" spans="1:9">
      <c r="A50" t="s">
        <v>243</v>
      </c>
      <c r="I50" t="s">
        <v>244</v>
      </c>
    </row>
    <row r="53" spans="1:9" ht="15.5">
      <c r="A53" s="75" t="s">
        <v>245</v>
      </c>
    </row>
    <row r="54" spans="1:9">
      <c r="A54" t="s">
        <v>246</v>
      </c>
    </row>
    <row r="55" spans="1:9">
      <c r="A55" t="s">
        <v>247</v>
      </c>
    </row>
    <row r="56" spans="1:9">
      <c r="A56" t="s">
        <v>248</v>
      </c>
    </row>
    <row r="57" spans="1:9">
      <c r="A57" t="s">
        <v>249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 me first</vt:lpstr>
      <vt:lpstr>SF-424_RR-Budget-(RAversion)</vt:lpstr>
      <vt:lpstr>LOE worksheet</vt:lpstr>
      <vt:lpstr>New LOE Worksheet</vt:lpstr>
      <vt:lpstr>Travel BOE</vt:lpstr>
      <vt:lpstr>Material BOE</vt:lpstr>
      <vt:lpstr>Labor BOE</vt:lpstr>
      <vt:lpstr>SubBudget</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Dave's Desktop</dc:creator>
  <cp:keywords/>
  <dc:description/>
  <cp:lastModifiedBy>Dave Donley</cp:lastModifiedBy>
  <cp:revision/>
  <dcterms:created xsi:type="dcterms:W3CDTF">2015-11-17T17:34:23Z</dcterms:created>
  <dcterms:modified xsi:type="dcterms:W3CDTF">2022-09-22T16:37:23Z</dcterms:modified>
  <cp:category/>
  <cp:contentStatus/>
</cp:coreProperties>
</file>